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035" tabRatio="881" activeTab="0"/>
  </bookViews>
  <sheets>
    <sheet name="Adatlap" sheetId="1" r:id="rId1"/>
    <sheet name="ÉVEK2000TŐL" sheetId="2" state="hidden" r:id="rId2"/>
    <sheet name="ÉVEK2011TŐL" sheetId="3" state="hidden" r:id="rId3"/>
    <sheet name="Főkönyv" sheetId="4" state="hidden" r:id="rId4"/>
    <sheet name="Fedőlap" sheetId="5" r:id="rId5"/>
    <sheet name="Mérlegoldalak" sheetId="6" r:id="rId6"/>
    <sheet name="Eredménykimutatás" sheetId="7" r:id="rId7"/>
    <sheet name="Támogatás felhaszn" sheetId="8" r:id="rId8"/>
    <sheet name="Tevékenység bemutatása" sheetId="9" r:id="rId9"/>
    <sheet name="Közhasznú tevékenység" sheetId="10" r:id="rId10"/>
    <sheet name="Vagyon felhasználása" sheetId="11" r:id="rId11"/>
    <sheet name="Cél szerinti juttatások" sheetId="12" r:id="rId12"/>
    <sheet name="Tisztségviselők juttatásai" sheetId="13" r:id="rId13"/>
    <sheet name="Közhasznúsági melléklet" sheetId="14" r:id="rId14"/>
    <sheet name="Ellenőrzés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.II.L2" localSheetId="9">'[2]8. L.A.II.6.'!#REF!</definedName>
    <definedName name="A.II.L2" localSheetId="7">'[2]8. L.A.II.6.'!#REF!</definedName>
    <definedName name="A.II.L2">'[2]8. L.A.II.6.'!#REF!</definedName>
    <definedName name="A.III.L2." localSheetId="9">'[2]11. L.A.III.2.,4.,5.'!#REF!</definedName>
    <definedName name="A.III.L2." localSheetId="7">'[2]11. L.A.III.2.,4.,5.'!#REF!</definedName>
    <definedName name="A.III.L2.">'[2]11. L.A.III.2.,4.,5.'!#REF!</definedName>
    <definedName name="DATABASE">'[3]Tartalomj.'!$A$1:$D$108</definedName>
    <definedName name="borito" localSheetId="9">#REF!</definedName>
    <definedName name="borito" localSheetId="7">#REF!</definedName>
    <definedName name="borito">#REF!</definedName>
    <definedName name="ccc" localSheetId="9">#REF!</definedName>
    <definedName name="ccc" localSheetId="7">#REF!</definedName>
    <definedName name="ccc">#REF!</definedName>
    <definedName name="eee" localSheetId="9">#REF!</definedName>
    <definedName name="eee" localSheetId="7">#REF!</definedName>
    <definedName name="eee">#REF!</definedName>
    <definedName name="ggggg" localSheetId="9">#REF!</definedName>
    <definedName name="ggggg" localSheetId="7">#REF!</definedName>
    <definedName name="ggggg">#REF!</definedName>
    <definedName name="leltar" localSheetId="14">#REF!</definedName>
    <definedName name="magán1">'[5]Adótáblák'!$A$128:$M$139</definedName>
    <definedName name="_xlnm.Print_Area" localSheetId="1">'ÉVEK2000TŐL'!$A$1:$I$64</definedName>
    <definedName name="_xlnm.Print_Area" localSheetId="2">'ÉVEK2011TŐL'!$A$1:$E$106</definedName>
    <definedName name="_xlnm.Print_Area" localSheetId="3">'Főkönyv'!$A$1:$J$150</definedName>
    <definedName name="_xlnm.Print_Area" localSheetId="13">'Közhasznúsági melléklet'!$A$1:$C$57</definedName>
    <definedName name="T">#REF!</definedName>
    <definedName name="tabla" localSheetId="14">#REF!</definedName>
  </definedNames>
  <calcPr fullCalcOnLoad="1"/>
</workbook>
</file>

<file path=xl/sharedStrings.xml><?xml version="1.0" encoding="utf-8"?>
<sst xmlns="http://schemas.openxmlformats.org/spreadsheetml/2006/main" count="1126" uniqueCount="534">
  <si>
    <t>1. A BTFSZ éves rendes közgyűlését 2012. május 18-ra összehívtuk. A közgyűlés elfogadta a Közhasznúsági Jelentést és azt a Tájolóban közzétettük.</t>
  </si>
  <si>
    <t>2. Január 21-22-én megrendeztük a Budapesti Tájfutó Napokat.</t>
  </si>
  <si>
    <t>4. Sor került a Budapest Tájfutó Sportjáért díj átadására is. A díjat idén Gyalog László (SPA) vehette át a Bajnokok Vacsoráján. A díj adományozásáról az Elnökség szintén a decemberi ülésén döntött.</t>
  </si>
  <si>
    <t>5. A Budapest Tájfutó Sportjáért Alapítványtól száznyolcvanezer forint támogatást kaptunk. (Ez az előző évinek kevesebb, mint harmada.) A teljes összeget az utánpótlásra költöttük.</t>
  </si>
  <si>
    <t>6. 2012-ben mind az Önkormányzattal, mind az MTFSZ-szel jók voltak a kapcsolataink. Sajnos az önkormányzati támogatás tovább csökkent, 2 év alatt a harmadára. A BTFSZ elnöke hat alkalommal részt vett az MTFSZ elnökségi ülésén.</t>
  </si>
  <si>
    <t>7. 2012-ben a Budapest Bajnokságok rendezését pályázat útján döntöttük el. Az egyre csökkenő támogatás miatt a korábbiak felét tudtuk csak a versenyrendszer fenntartására fordítani. Ha tovább csökken a támogatás, félő, hogy nem tudjuk fenntartani a bajnoki rendszert. A 2012-es bajnokságok költségvetése a korábbi évektől eltérően, egy kivételtől eltekintve nem folyt át a szövetségen, csak a rendezőknek fizettünk támogatást. Ez jelentősen csökkentette az éves forgalmat.</t>
  </si>
  <si>
    <t xml:space="preserve">8. A budapesti bajnokságokra az Elnökség szövetségi ellenőröket küldött. A szövetségi ellenőrök tapasztalataikról beszámoltak, a tanulságokat a jövő évi rendezvényekkel kapcsolatos szerződéseknél figyelembe vesszük. </t>
  </si>
  <si>
    <t>9. A honlap működése egész évben folyamatos volt.</t>
  </si>
  <si>
    <t>10. A BTFSZ bizottságai az elnökségi üléseken rendszeresen beszámolnak munkájukról. A munkaterv teljesítésében elmaradások nem voltak.</t>
  </si>
  <si>
    <t>11. A NEA pályázaton a működési költségek fedezetére egyetlen budapesti tájfutó szervezet sem tudott nyerni, pedig 2012-ben még az Alapítvánnyal is pályáztunk. Az ebből származó bevételek hiánya éreztette hatását a szövetség és a tagszervezetek gazdálkodásában is.</t>
  </si>
  <si>
    <t>12. Alkalmazkodva a törvényi előírásokhoz, a szövetség áttért a kettős könyvvitelre, és ezt kihasználva a Tájoló újság még 2012-ben befolyt 2013-as előfizetési díjait elhatároltattuk, hogy a mérlegben kimutatott vagyon reálisabb legyen.</t>
  </si>
  <si>
    <t>13. A fentiek miatt 2012-ben 1.284 ezer forint veszteséggel működtünk. Emiatt 2013-ra vonatkozóan erősen átértékeljük a hangsúlyokat, a melléjük rendelhető eszközöket.</t>
  </si>
  <si>
    <t>3. A Budapest Tájfutója díjak rendszere kicsit átalakult. A hangsúlyt még erőteljesebben az utánpótlásra helyeztük, ezért felnőtt kategóriában nem hirdetünk ilyen díjat, hanem lejjebb vittük a korhatárokat: a 14-16 és 18-20-as kategóriákat vesszük figyelembe. 2012-re így Weiler Virág (SPA), Miavecz Balázs (MOM), Varsányi Kinga (KST) és Bakó Áron (SPA) lettek a díjazottak az edzők javaslatai alapján, az elnökség a decemberi ülésén döntött.</t>
  </si>
  <si>
    <t>A tájfutó sport budapesti versenyrendszerének szervezése, működtetése, irányítása és koordinálása. Tájfutó térképek és felszerelések árusítása.</t>
  </si>
  <si>
    <t>Pk.61670/1990</t>
  </si>
  <si>
    <t>Keltezés:</t>
  </si>
  <si>
    <t>(képviselője)</t>
  </si>
  <si>
    <t xml:space="preserve"> </t>
  </si>
  <si>
    <t>A tétel megnevezése</t>
  </si>
  <si>
    <t>Előző év</t>
  </si>
  <si>
    <t>P. H.</t>
  </si>
  <si>
    <t>Sor-szám</t>
  </si>
  <si>
    <t>Tárgyév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</si>
  <si>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</si>
  <si>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</si>
  <si>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</si>
  <si>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</si>
  <si>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</si>
  <si>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</si>
  <si>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</si>
  <si>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</si>
  <si>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</si>
  <si>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</si>
  <si>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</si>
  <si>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</si>
  <si>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</si>
  <si>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 xml:space="preserve">I. IMMATERIÁLIS JAVAK </t>
  </si>
  <si>
    <t xml:space="preserve">II.TÁRGYI ESZKÖZÖK </t>
  </si>
  <si>
    <t xml:space="preserve">III. BEFEKTETETT PÉNZÜGYI ESZKÖZÖK </t>
  </si>
  <si>
    <t xml:space="preserve">I. KÉSZLETEK </t>
  </si>
  <si>
    <t xml:space="preserve">II. KÖVETELÉSEK </t>
  </si>
  <si>
    <t xml:space="preserve">III. ÉRTÉKPAPÍROK </t>
  </si>
  <si>
    <t xml:space="preserve">IV. PÉNZESZKÖZÖK </t>
  </si>
  <si>
    <t>.</t>
  </si>
  <si>
    <t>P.H.</t>
  </si>
  <si>
    <t>A</t>
  </si>
  <si>
    <t>C</t>
  </si>
  <si>
    <t>B</t>
  </si>
  <si>
    <t>D</t>
  </si>
  <si>
    <t>E</t>
  </si>
  <si>
    <t>F</t>
  </si>
  <si>
    <t>16.</t>
  </si>
  <si>
    <t>17.</t>
  </si>
  <si>
    <t>18.</t>
  </si>
  <si>
    <t>19.</t>
  </si>
  <si>
    <t>20.</t>
  </si>
  <si>
    <t xml:space="preserve">I. INDULÓ TŐKE/JEGYZETT TŐKE </t>
  </si>
  <si>
    <t>E. Céltartalék</t>
  </si>
  <si>
    <t>a) alapítótól</t>
  </si>
  <si>
    <t>Pályázati úton elnyert támogatás</t>
  </si>
  <si>
    <t>Közhasznú tevékenységből származó bevétel</t>
  </si>
  <si>
    <t>Tagdíjból származó bevétel</t>
  </si>
  <si>
    <t>Egyéb bevétel</t>
  </si>
  <si>
    <t xml:space="preserve">ADÓFIZETÉSI KÖTELEZETTSÉG </t>
  </si>
  <si>
    <t>21.</t>
  </si>
  <si>
    <t>22.</t>
  </si>
  <si>
    <t>Személyi jellegű ráfordítások</t>
  </si>
  <si>
    <t>Értékcsökkenési leírás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</si>
  <si>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</si>
  <si>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</si>
  <si>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</si>
  <si>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</si>
  <si>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</si>
  <si>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</si>
  <si>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előző évi</t>
  </si>
  <si>
    <t>tárgyévi</t>
  </si>
  <si>
    <t>Átvitel összege</t>
  </si>
  <si>
    <t>Megnevezés</t>
  </si>
  <si>
    <t>Előző évi összeg Ft</t>
  </si>
  <si>
    <t>Tárgyévi összeg Ft</t>
  </si>
  <si>
    <t>Változás</t>
  </si>
  <si>
    <t>Megjegyzés</t>
  </si>
  <si>
    <t>%</t>
  </si>
  <si>
    <t>Ft</t>
  </si>
  <si>
    <t>Juttatás megnevezése</t>
  </si>
  <si>
    <t>Juttatás összege</t>
  </si>
  <si>
    <t>Előző évi</t>
  </si>
  <si>
    <t>Közhasznú tevékenység keretében nyújtott</t>
  </si>
  <si>
    <t>Összesen:</t>
  </si>
  <si>
    <t xml:space="preserve">Egyéb cél szerinti, de nem közhasznú tevékenység keretében nyújtott </t>
  </si>
  <si>
    <t>- pénzbeli juttatások</t>
  </si>
  <si>
    <t>- nem pénzbeli juttatások</t>
  </si>
  <si>
    <t>E Ft-ban</t>
  </si>
  <si>
    <t>megnevezése</t>
  </si>
  <si>
    <t>Közhasznú szervezet</t>
  </si>
  <si>
    <t>Juttatás</t>
  </si>
  <si>
    <t>Eltérés</t>
  </si>
  <si>
    <t>Cél szerinti pénzbeli kifizetések</t>
  </si>
  <si>
    <t>Természetbeni juttatások</t>
  </si>
  <si>
    <t>Tiszteletdíjak, megbízási díjak</t>
  </si>
  <si>
    <t>Adott kölcsönök összege</t>
  </si>
  <si>
    <t>Egyéb juttatások</t>
  </si>
  <si>
    <t>Tőkeváltozás</t>
  </si>
  <si>
    <t>Tőkeváltozás csökkenésére ható tényezők:</t>
  </si>
  <si>
    <t>- közhasznú tevékenység tárgyévi vesztesége</t>
  </si>
  <si>
    <t>- vállakozási tevékenység tárgyévi vesztesége</t>
  </si>
  <si>
    <t>- egyéb</t>
  </si>
  <si>
    <t>TARTALOM:</t>
  </si>
  <si>
    <t>- KIMUTATÁS A KAPOTT TÁMOGATÁSRÓL</t>
  </si>
  <si>
    <t>- KIMUTATÁS A VAGYON FELHASZNÁLÁSRÓL</t>
  </si>
  <si>
    <t>- KIMUTATÁS A CÉL SZERINTI  JUTTATÁSRÓL</t>
  </si>
  <si>
    <t>Összesen</t>
  </si>
  <si>
    <t>III. LEKÖTÖTT TARTALÉK</t>
  </si>
  <si>
    <t>IV. ÉRTÉKELÉSI TARTALÉK</t>
  </si>
  <si>
    <t>V. TÁRGYÉVI EREDMÉNY ALAPTEVÉKENYSÉGBŐL</t>
  </si>
  <si>
    <t>II. HOSSZÚ LEJÁRATÚ KÖTELEZETTSÉGEK</t>
  </si>
  <si>
    <t>I. HÁTRASOROLT KÖTELEZETTSÉGEK</t>
  </si>
  <si>
    <t xml:space="preserve">III. RÖVID LEJÁRATÚ KÖTELEZETTSÉGEK </t>
  </si>
  <si>
    <t>II. TŐKEVÁLTOZÁS/EREDMÉNY</t>
  </si>
  <si>
    <t>b) központi költségvetésből</t>
  </si>
  <si>
    <t>c) helyi önkormányzattól</t>
  </si>
  <si>
    <t>d) egyéb</t>
  </si>
  <si>
    <t>Anyagjellegű ráfordításai</t>
  </si>
  <si>
    <t>Pénzügyi műveletek ráfordításai</t>
  </si>
  <si>
    <t>Rendkívüli ráfordítások</t>
  </si>
  <si>
    <t>14.</t>
  </si>
  <si>
    <t>15.</t>
  </si>
  <si>
    <t>23.</t>
  </si>
  <si>
    <t>24.</t>
  </si>
  <si>
    <t>25.</t>
  </si>
  <si>
    <t>Statisztikai számjel</t>
  </si>
  <si>
    <t>adatok eFt-ban</t>
  </si>
  <si>
    <t>eFt-ban</t>
  </si>
  <si>
    <t>EREDMÉNYKIMUTATÁS</t>
  </si>
  <si>
    <t>Sorsz.</t>
  </si>
  <si>
    <t>MEGNEVEZÉS</t>
  </si>
  <si>
    <t>Tárgy év</t>
  </si>
  <si>
    <t>MÉRLEG</t>
  </si>
  <si>
    <t>A. Befektetett eszközök (02+03+04)</t>
  </si>
  <si>
    <t xml:space="preserve">II. TÁRGYI ESZKÖZÖK </t>
  </si>
  <si>
    <t>III. BEFEKTETETT PÉNZÜGYI ESZKÖZÖK</t>
  </si>
  <si>
    <t>B. Forgóeszközök (06+07+08+09)</t>
  </si>
  <si>
    <t xml:space="preserve">III. ÉRTÉKPAPIROK </t>
  </si>
  <si>
    <t>ESZKÖZÖK ÖSSZESEN (01+05+10)</t>
  </si>
  <si>
    <t xml:space="preserve">E. Céltartalékok </t>
  </si>
  <si>
    <t>C. Aktív időbeli elhatárolások</t>
  </si>
  <si>
    <t>G. Passzív időbeli elhatárolások</t>
  </si>
  <si>
    <t>- KIMUTATÁS A VEZETŐ TISZTSÉGVISELŐK JUTTATÁSAIRÓL</t>
  </si>
  <si>
    <t>Mérleg</t>
  </si>
  <si>
    <t>E/F</t>
  </si>
  <si>
    <t xml:space="preserve">E </t>
  </si>
  <si>
    <t>a szervezet vezetője</t>
  </si>
  <si>
    <t>F. Kötelezettségek (21+22+23)</t>
  </si>
  <si>
    <t>FORRÁSOK ÖSSZESEN (12+19+20+24)</t>
  </si>
  <si>
    <t>Közhasznú célú működésre kapott támogatás</t>
  </si>
  <si>
    <t>VÁLLALKOZÁSI TEVÉKENYSÉG BEVÉTELE</t>
  </si>
  <si>
    <t>ÖSSZES BEVÉTEL (A+B)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</si>
  <si>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</si>
  <si>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</si>
  <si>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</si>
  <si>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</si>
  <si>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</si>
  <si>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</si>
  <si>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</si>
  <si>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</si>
  <si>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</si>
  <si>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</si>
  <si>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Egyéb ráfordítások</t>
  </si>
  <si>
    <t>ÖSSZES RÁFORDÍTÁS (D+E)</t>
  </si>
  <si>
    <t>ADÓZÁS ELŐTTI VÁLLALKOZÁSI EREDMÉNY (B-E)</t>
  </si>
  <si>
    <t>TÁRGYÉVI VÁLLALKOZÁSI EREDMÉNY (G-H)</t>
  </si>
  <si>
    <t>TÁRGYÉVI KÖZHASZNÚ EREDMÉNY (A-D)</t>
  </si>
  <si>
    <t>D. Saját tőke (13+14+15+16+17+18)</t>
  </si>
  <si>
    <t>VI. TÁRGYÉVI EREDMÉNY VÁLLALKOZÁSI TEV.-BŐL</t>
  </si>
  <si>
    <t>Induló tőke</t>
  </si>
  <si>
    <r>
      <t xml:space="preserve">A. Befektetett eszközök </t>
    </r>
    <r>
      <rPr>
        <sz val="10"/>
        <rFont val="Arial CE"/>
        <family val="2"/>
      </rPr>
      <t xml:space="preserve"> (2+3+4)</t>
    </r>
  </si>
  <si>
    <r>
      <t>B. Forgóeszközök</t>
    </r>
    <r>
      <rPr>
        <sz val="10"/>
        <rFont val="Arial CE"/>
        <family val="2"/>
      </rPr>
      <t xml:space="preserve">  (6+7+8+9)</t>
    </r>
  </si>
  <si>
    <r>
      <t xml:space="preserve">ESZKÖZÖK (AKTIVÁK) ÖSSZESEN </t>
    </r>
    <r>
      <rPr>
        <sz val="10"/>
        <rFont val="Arial CE"/>
        <family val="2"/>
      </rPr>
      <t>(1+5+10)</t>
    </r>
  </si>
  <si>
    <r>
      <t>D. Saját tőke</t>
    </r>
    <r>
      <rPr>
        <sz val="10"/>
        <rFont val="Arial CE"/>
        <family val="2"/>
      </rPr>
      <t xml:space="preserve"> (13+14+15+16+17+18)</t>
    </r>
  </si>
  <si>
    <r>
      <t xml:space="preserve">F. Kötelezettségek </t>
    </r>
    <r>
      <rPr>
        <sz val="10"/>
        <rFont val="Arial CE"/>
        <family val="2"/>
      </rPr>
      <t>(21+22+23)</t>
    </r>
  </si>
  <si>
    <r>
      <t xml:space="preserve">FORRÁSOK (PASSZÍVÁK) ÖSSZESEN </t>
    </r>
    <r>
      <rPr>
        <sz val="10"/>
        <rFont val="Arial CE"/>
        <family val="0"/>
      </rPr>
      <t>(12+19+20+24)</t>
    </r>
  </si>
  <si>
    <t>az egyéb szervezet megnevezése</t>
  </si>
  <si>
    <t>az egyéb szervezet címe, telefonszáma</t>
  </si>
  <si>
    <t>2007</t>
  </si>
  <si>
    <t>2008</t>
  </si>
  <si>
    <t>Szlaszám</t>
  </si>
  <si>
    <t>T</t>
  </si>
  <si>
    <t>K</t>
  </si>
  <si>
    <t>Egyenleg</t>
  </si>
  <si>
    <t>Átsorolás</t>
  </si>
  <si>
    <t>Rész-egyenleg</t>
  </si>
  <si>
    <t>Ft-ban</t>
  </si>
  <si>
    <t>2009</t>
  </si>
  <si>
    <t>2010</t>
  </si>
  <si>
    <t>2011</t>
  </si>
  <si>
    <t>Eszközök</t>
  </si>
  <si>
    <t>Források</t>
  </si>
  <si>
    <t>Különbség</t>
  </si>
  <si>
    <t>ADATLAP</t>
  </si>
  <si>
    <t>1.</t>
  </si>
  <si>
    <t>elnevezés</t>
  </si>
  <si>
    <t>2.</t>
  </si>
  <si>
    <t>3.</t>
  </si>
  <si>
    <t>székhelye</t>
  </si>
  <si>
    <t>4.</t>
  </si>
  <si>
    <t>5.</t>
  </si>
  <si>
    <t>6.</t>
  </si>
  <si>
    <t>statisztikai számjel</t>
  </si>
  <si>
    <t>7.</t>
  </si>
  <si>
    <t>8.</t>
  </si>
  <si>
    <t>9.</t>
  </si>
  <si>
    <t>beszámoló fordulónapja</t>
  </si>
  <si>
    <t>beszámoló keltezése</t>
  </si>
  <si>
    <t>Az ügyfél :</t>
  </si>
  <si>
    <t>képviseltre jogosult</t>
  </si>
  <si>
    <t>beosztása</t>
  </si>
  <si>
    <t>elnök</t>
  </si>
  <si>
    <t>könyvviteli szolg.felelős</t>
  </si>
  <si>
    <t>Csernus Anita</t>
  </si>
  <si>
    <t>2012</t>
  </si>
  <si>
    <t>Egyéb szervezet egyszerűsített éves beszámolója</t>
  </si>
  <si>
    <t>Alaptev.</t>
  </si>
  <si>
    <t>Váll.tev.</t>
  </si>
  <si>
    <t>Értékesítés nettó árbevétele</t>
  </si>
  <si>
    <t>Aktivált saját teljesítmények értéke</t>
  </si>
  <si>
    <t>Egyéb bevételek</t>
  </si>
  <si>
    <t>ebből:</t>
  </si>
  <si>
    <t>Pénzügyi műveletek bevételei</t>
  </si>
  <si>
    <t>Rendkívüli bevételek</t>
  </si>
  <si>
    <t>Közhasznúsági melléklet</t>
  </si>
  <si>
    <t xml:space="preserve"> 1. Közhasznú szervezet azonosító adatai</t>
  </si>
  <si>
    <t xml:space="preserve"> 2. Tárgyévben végzett alapcél szerinti és közhasznú tevékenységek bemutatása</t>
  </si>
  <si>
    <t xml:space="preserve"> 3. Közhasznú tevékenységek bemutatása (tevékenységenként) közhasznú tevékenység megnevezése:</t>
  </si>
  <si>
    <t>közhasznú tevékenységhez kapcsolódó közfeladat, jogszabályhely:</t>
  </si>
  <si>
    <t xml:space="preserve"> a közhasznú tevékenység célcsoportja:</t>
  </si>
  <si>
    <t>a közhasznú tevékenységből részesülők létszáma:</t>
  </si>
  <si>
    <t xml:space="preserve"> a közhasznú tevékenység főbb eredményei:</t>
  </si>
  <si>
    <t xml:space="preserve"> Felhasznált vagyonelem megnevezése</t>
  </si>
  <si>
    <t xml:space="preserve"> Vagyonelem értéke</t>
  </si>
  <si>
    <t xml:space="preserve"> Felhasználás célja</t>
  </si>
  <si>
    <t xml:space="preserve"> Cél szerinti juttatás megnevezése</t>
  </si>
  <si>
    <t xml:space="preserve"> Előző év</t>
  </si>
  <si>
    <t xml:space="preserve"> Tárgyév</t>
  </si>
  <si>
    <t xml:space="preserve"> Tisztség</t>
  </si>
  <si>
    <t xml:space="preserve"> Előző év (1)</t>
  </si>
  <si>
    <t xml:space="preserve"> Tárgyév (2)</t>
  </si>
  <si>
    <t xml:space="preserve"> A. Vezető tisztségviselőknek nyújtott juttatás összesen:</t>
  </si>
  <si>
    <t xml:space="preserve"> Alapadatok</t>
  </si>
  <si>
    <t xml:space="preserve"> B. Éves összes bevétel</t>
  </si>
  <si>
    <t xml:space="preserve"> ebből:</t>
  </si>
  <si>
    <t xml:space="preserve"> C. a személyi jövedelemadó meghatározott részének az adózó rendelkezése szerinti felhasználásáról szóló 1996. évi CXXVI. törvény alapján átutalt összeg</t>
  </si>
  <si>
    <t xml:space="preserve"> D. közszolgáltatási bevétel</t>
  </si>
  <si>
    <t xml:space="preserve"> E. normatív támogatás</t>
  </si>
  <si>
    <t xml:space="preserve"> F. az Európai Unió strukturális alapjaiból, illetve a Kohéziós Alapból nyújtott támogatás</t>
  </si>
  <si>
    <t xml:space="preserve"> G. Korrigált bevétel [B-(C+D+E+F)]</t>
  </si>
  <si>
    <t xml:space="preserve"> H. Összes ráfordítás (kiadás)</t>
  </si>
  <si>
    <t xml:space="preserve"> I. ebből személyi jellegű ráfordítás</t>
  </si>
  <si>
    <t xml:space="preserve"> J. Közhasznú tevékenység ráfordításai</t>
  </si>
  <si>
    <t xml:space="preserve"> K. Adózott eredmény</t>
  </si>
  <si>
    <t xml:space="preserve"> Erőforrás-ellátottság mutatói</t>
  </si>
  <si>
    <t xml:space="preserve"> Mutató teljesítése</t>
  </si>
  <si>
    <r>
      <t xml:space="preserve"> Ectv. 32. § (4) </t>
    </r>
    <r>
      <rPr>
        <i/>
        <sz val="10"/>
        <color indexed="8"/>
        <rFont val="Arial"/>
        <family val="2"/>
      </rPr>
      <t xml:space="preserve">a) </t>
    </r>
    <r>
      <rPr>
        <sz val="10"/>
        <color indexed="8"/>
        <rFont val="Arial"/>
        <family val="2"/>
      </rPr>
      <t>[(B1+B2)/2&gt;1.000.000,- Ft]</t>
    </r>
  </si>
  <si>
    <r>
      <t xml:space="preserve"> Ectv. 32. § (4) </t>
    </r>
    <r>
      <rPr>
        <i/>
        <sz val="10"/>
        <color indexed="8"/>
        <rFont val="Arial"/>
        <family val="2"/>
      </rPr>
      <t xml:space="preserve">b) </t>
    </r>
    <r>
      <rPr>
        <sz val="10"/>
        <color indexed="8"/>
        <rFont val="Arial"/>
        <family val="2"/>
      </rPr>
      <t>[K1+K2≥0]</t>
    </r>
  </si>
  <si>
    <r>
      <t xml:space="preserve"> Ectv. 32. § (4) </t>
    </r>
    <r>
      <rPr>
        <i/>
        <sz val="10"/>
        <color indexed="8"/>
        <rFont val="Arial"/>
        <family val="2"/>
      </rPr>
      <t xml:space="preserve">c) </t>
    </r>
    <r>
      <rPr>
        <sz val="10"/>
        <color indexed="8"/>
        <rFont val="Arial"/>
        <family val="2"/>
      </rPr>
      <t>[(I1+I2-A1-A2)/(H1+H2)≥0,25]</t>
    </r>
  </si>
  <si>
    <t xml:space="preserve"> Társadalmi támogatottság mutatói</t>
  </si>
  <si>
    <r>
      <t xml:space="preserve"> Ectv. 32. § (5) </t>
    </r>
    <r>
      <rPr>
        <i/>
        <sz val="10"/>
        <color indexed="8"/>
        <rFont val="Arial"/>
        <family val="2"/>
      </rPr>
      <t xml:space="preserve">a) </t>
    </r>
    <r>
      <rPr>
        <sz val="10"/>
        <color indexed="8"/>
        <rFont val="Arial"/>
        <family val="2"/>
      </rPr>
      <t>[(C1+C2)/(G1+G2)≥0,02]</t>
    </r>
  </si>
  <si>
    <r>
      <t xml:space="preserve"> Ectv. 32. § (5) </t>
    </r>
    <r>
      <rPr>
        <i/>
        <sz val="10"/>
        <color indexed="8"/>
        <rFont val="Arial"/>
        <family val="2"/>
      </rPr>
      <t xml:space="preserve">b) </t>
    </r>
    <r>
      <rPr>
        <sz val="10"/>
        <color indexed="8"/>
        <rFont val="Arial"/>
        <family val="2"/>
      </rPr>
      <t>[(J1+J2)/(H1+H2)≥0,5]</t>
    </r>
  </si>
  <si>
    <r>
      <t xml:space="preserve"> Ectv. 32. § (5) </t>
    </r>
    <r>
      <rPr>
        <i/>
        <sz val="10"/>
        <color indexed="8"/>
        <rFont val="Arial"/>
        <family val="2"/>
      </rPr>
      <t xml:space="preserve">c) </t>
    </r>
    <r>
      <rPr>
        <sz val="10"/>
        <color indexed="8"/>
        <rFont val="Arial"/>
        <family val="2"/>
      </rPr>
      <t>[(L1+L2)/2≥10 fő]</t>
    </r>
  </si>
  <si>
    <t xml:space="preserve"> L. A szervezet munkájában közreműködő közérdekű önkéntes tevékenységet végző személyek száma (a közérdekű önkéntes tevékenységről szóló 2005. évi LXXXVIII. törvénynek megfelelően)</t>
  </si>
  <si>
    <t>Központi költségvetési szervtől kapott támogatás</t>
  </si>
  <si>
    <t>Kötelezettségként kimutatott visszatérítendő támogatás</t>
  </si>
  <si>
    <t>- FŐBB TEVÉKENYSÉGEK ÉS PROGRAMOK BEMUTATÁSA</t>
  </si>
  <si>
    <t>A szervezet rendelkezésére álló erőforrások</t>
  </si>
  <si>
    <t>- KÖZHASZNÚ TEVÉKENYSÉGEK BEMUTATÁSA</t>
  </si>
  <si>
    <t>a)</t>
  </si>
  <si>
    <t>adatok ezer forintban, illetve %-ban</t>
  </si>
  <si>
    <t>Tétel</t>
  </si>
  <si>
    <t>1. éves bevétel</t>
  </si>
  <si>
    <t>2. átlagos éves bevétel (tárgyév és előző év átlaga)</t>
  </si>
  <si>
    <t>1. adózott eredmény (tárgyév és előző év egybeszámított eredménye):</t>
  </si>
  <si>
    <t>b)</t>
  </si>
  <si>
    <t>c)</t>
  </si>
  <si>
    <t>1. személyi jellegű ráfordítás (kiadás) - a vezető tisztségviselők juttatásainak figyelembevétele nélkül:</t>
  </si>
  <si>
    <t>2. az összes ráfordítás (kiadás)</t>
  </si>
  <si>
    <t>3. az 1. pont szerinti ráfordítás aránya a 2. pont szerinti ráfordításokból:</t>
  </si>
  <si>
    <t>A szervezetnél kimutatható társadalmi támogatottság</t>
  </si>
  <si>
    <t>Önkormányzattól kapott támogatás</t>
  </si>
  <si>
    <t>Nemzetközi szervezettől kapott támogatás</t>
  </si>
  <si>
    <t>Egyéb gazdálkodó szervezettől kapott támogatás</t>
  </si>
  <si>
    <t>1. a személyi jövedelemadó meghatározott részének az adózó rendelkezése szerint a szervezetnek felajánlott összegből kiutalt összeg (1%-os bevétel)</t>
  </si>
  <si>
    <t>Két év átlaga</t>
  </si>
  <si>
    <t>3. Az 1. pont szerinti összeg a 2. pont szerinti összeg %-ában:</t>
  </si>
  <si>
    <t>1. közhasznú tevékenység érdekében felmerült költségek, ráfordítások:</t>
  </si>
  <si>
    <t>2. összes ráfordítás:</t>
  </si>
  <si>
    <t>A szervezet közhasznú tevékenységének ellátását tartósan (éves átlagában) legalább segítő közérdekű önkéntes tevékenységet végző személyek száma (a 2005. évi LXXXVIII. törvénynek megfelelően)</t>
  </si>
  <si>
    <t xml:space="preserve">Nyilvántartási szám: </t>
  </si>
  <si>
    <t>- TÁMOGATÁSOK FELHASZNÁLÁSA</t>
  </si>
  <si>
    <t>Bejegyző határozat száma</t>
  </si>
  <si>
    <t>Bejegyző határozat száma:</t>
  </si>
  <si>
    <t xml:space="preserve">- Egyszerűsített éves beszámoló MÉRLEGE </t>
  </si>
  <si>
    <t>- Egyszerűsített éves beszámoló EREDMÉNYKIMUTATÁSA</t>
  </si>
  <si>
    <t>- Egyszerűsített éves beszámoló KIEGÉSZÍTŐ MELLÉKLETE</t>
  </si>
  <si>
    <t xml:space="preserve"> - tagdíj, alapítótól kapott befizetés</t>
  </si>
  <si>
    <t xml:space="preserve"> - támogatások</t>
  </si>
  <si>
    <t xml:space="preserve">  - alapítótól kapott befizetés</t>
  </si>
  <si>
    <r>
      <t>ÖSSZES BEVÉTEL</t>
    </r>
    <r>
      <rPr>
        <b/>
        <sz val="9.5"/>
        <rFont val="Arial CE"/>
        <family val="0"/>
      </rPr>
      <t xml:space="preserve"> </t>
    </r>
    <r>
      <rPr>
        <b/>
        <sz val="9"/>
        <rFont val="Arial CE"/>
        <family val="0"/>
      </rPr>
      <t>(1</t>
    </r>
    <r>
      <rPr>
        <b/>
        <u val="single"/>
        <sz val="9"/>
        <rFont val="Arial CE"/>
        <family val="0"/>
      </rPr>
      <t>+</t>
    </r>
    <r>
      <rPr>
        <b/>
        <sz val="9"/>
        <rFont val="Arial CE"/>
        <family val="0"/>
      </rPr>
      <t>2+3+4+5)</t>
    </r>
  </si>
  <si>
    <t xml:space="preserve">  - közhasznú tevékenység bevételei</t>
  </si>
  <si>
    <t xml:space="preserve">  - vezető tiszségviselők juttatásai</t>
  </si>
  <si>
    <r>
      <t xml:space="preserve">ÖSSZES RÁFORDÍTÁS </t>
    </r>
    <r>
      <rPr>
        <sz val="9"/>
        <rFont val="Arial CE"/>
        <family val="2"/>
      </rPr>
      <t>(6+7+8+9+10+11)</t>
    </r>
  </si>
  <si>
    <t xml:space="preserve">  - közhasznú tevékenység ráfordításai</t>
  </si>
  <si>
    <t>ADÓZÁS ELŐTTI  EREDMÉNY (A-B)</t>
  </si>
  <si>
    <t>Adózott EREDMÉNY (C-12)</t>
  </si>
  <si>
    <t>JÓVÁHAGYOTT OSZTALÉK</t>
  </si>
  <si>
    <t>TÁRGYÉVI  EREDMÉNY (D-13)</t>
  </si>
  <si>
    <t>Tájékoztató adatok</t>
  </si>
  <si>
    <t>Központi költségvetési támogatás</t>
  </si>
  <si>
    <t>Helyi önkormányzati költségvetési támogatás</t>
  </si>
  <si>
    <t>Az Európai Unió strukturális alapjaiból, illetve a Kohéziós Alapból nyújtott támogatás</t>
  </si>
  <si>
    <t>Normatív támogatás</t>
  </si>
  <si>
    <t>A személyi jövedelemadó meghatározott részének adózó rendelkezése szerinti felhasználásáról szóló 1996. évi CXXVI. Törvény alapján kiutalt összeg</t>
  </si>
  <si>
    <t>Közszolgáltatási bevétel</t>
  </si>
  <si>
    <t>A L A P T E V É K E N Y S É G</t>
  </si>
  <si>
    <t xml:space="preserve">      - tagdíj, alapítótól kapott befizetés</t>
  </si>
  <si>
    <t xml:space="preserve">      - támogatások</t>
  </si>
  <si>
    <t xml:space="preserve">      a) alapítótól kapott befizetés</t>
  </si>
  <si>
    <t xml:space="preserve">      b) támogatások</t>
  </si>
  <si>
    <t xml:space="preserve">   ADÓFIZETÉSI KÖTELEZETTSÉG </t>
  </si>
  <si>
    <t>V Á L L A L K O Z Á S I T E V É K E N Y S É G</t>
  </si>
  <si>
    <t xml:space="preserve">      - vezető tisztségviselők juttatásai</t>
  </si>
  <si>
    <t>- természetbeni juttatások</t>
  </si>
  <si>
    <t>Nyilvántartási szám</t>
  </si>
  <si>
    <r>
      <t>ÖSSZES KÖZHASZNÚ TEVÉKENYSÉG BEVÉTELE</t>
    </r>
    <r>
      <rPr>
        <sz val="9.5"/>
        <rFont val="Arial"/>
        <family val="2"/>
      </rPr>
      <t xml:space="preserve"> </t>
    </r>
    <r>
      <rPr>
        <sz val="9"/>
        <rFont val="Arial"/>
        <family val="2"/>
      </rPr>
      <t>(01+02+03+04+05)</t>
    </r>
  </si>
  <si>
    <r>
      <t xml:space="preserve">KÖZHASZNÚ TEVÉKENYSÉG RÁFORDÍTÁSAI </t>
    </r>
    <r>
      <rPr>
        <sz val="9"/>
        <rFont val="Arial"/>
        <family val="2"/>
      </rPr>
      <t>(06+07+08+09+10+11)</t>
    </r>
  </si>
  <si>
    <r>
      <t xml:space="preserve">VÁLLALKOZÁSI TEVÉKENYSÉG RÁFORDÍTÁSAI </t>
    </r>
    <r>
      <rPr>
        <sz val="9"/>
        <rFont val="Arial"/>
        <family val="2"/>
      </rPr>
      <t>(12+13+14+15+16+17)</t>
    </r>
  </si>
  <si>
    <t xml:space="preserve">   ADÓZÁS ELŐTTI EREDMÉNY (A-B)</t>
  </si>
  <si>
    <t>TÁRGYÉVI EREDMÉNY (D-13)</t>
  </si>
  <si>
    <t>A személyi jövedelemadó meghatározott részének adózó rendelkezése szerinti felhasználásáról szóló 1996. évi CXXVI. törvény alapján kiutalt összeg</t>
  </si>
  <si>
    <t xml:space="preserve"> közhasznú tevékenységhez kapcsolódó közfeladat, jogszabályhely:</t>
  </si>
  <si>
    <t xml:space="preserve"> a közhasznú tevékenységből részesülők létszáma:</t>
  </si>
  <si>
    <t>2012. december 31.</t>
  </si>
  <si>
    <r>
      <t>ÖSSZES BEVÉTEL (1</t>
    </r>
    <r>
      <rPr>
        <b/>
        <u val="single"/>
        <sz val="10"/>
        <rFont val="Arial CE"/>
        <family val="0"/>
      </rPr>
      <t>+</t>
    </r>
    <r>
      <rPr>
        <b/>
        <sz val="10"/>
        <rFont val="Arial CE"/>
        <family val="0"/>
      </rPr>
      <t>2+3+4+5)</t>
    </r>
  </si>
  <si>
    <r>
      <t xml:space="preserve">ÖSSZES RÁFORDÍTÁS </t>
    </r>
    <r>
      <rPr>
        <sz val="10"/>
        <rFont val="Arial CE"/>
        <family val="2"/>
      </rPr>
      <t>(6+7+8+9+10+11)</t>
    </r>
  </si>
  <si>
    <t xml:space="preserve">   ebből: közhasznú tevékenység bevételei</t>
  </si>
  <si>
    <t xml:space="preserve">   ebből: közhasznú tevékenység ráfordításai</t>
  </si>
  <si>
    <t>Szlatípus</t>
  </si>
  <si>
    <t>T Egyenleg</t>
  </si>
  <si>
    <t>K Egyenleg</t>
  </si>
  <si>
    <t>egyéb bev.</t>
  </si>
  <si>
    <t>2. a Civil tv. 54. § szerinti bevétel nélkül számított összes bevétel:</t>
  </si>
  <si>
    <t>Szakmai feladatok, működés</t>
  </si>
  <si>
    <t>eFt</t>
  </si>
  <si>
    <t xml:space="preserve"> 4. Közhasznú tevékenység érdekében felhasznált vagyon kimutatása (eFt)</t>
  </si>
  <si>
    <t xml:space="preserve"> 5. Cél szerinti juttatások kimutatása (eFt)</t>
  </si>
  <si>
    <t xml:space="preserve"> 6. Vezető tisztségviselőknek nyújtott juttatás (eFt)</t>
  </si>
  <si>
    <t xml:space="preserve"> 7. Közhasznú jogállás megállapításához szükséges mutatók (eFt)</t>
  </si>
  <si>
    <t>ért.nettó</t>
  </si>
  <si>
    <t>1053 Budapest, Curia u. 3.</t>
  </si>
  <si>
    <t>Fővárosi Önkorm.</t>
  </si>
  <si>
    <t>Könyvvizsgálat</t>
  </si>
  <si>
    <t>Nem</t>
  </si>
  <si>
    <t>„A közzétett adatok könyvvizsgálattal nincsenek alátámasztva”</t>
  </si>
  <si>
    <t>Budapesti Tájfutók Szövetsége</t>
  </si>
  <si>
    <t>19622684-9319-523-01</t>
  </si>
  <si>
    <t>Bugár József</t>
  </si>
  <si>
    <t>31</t>
  </si>
  <si>
    <t>KÖVETELÉSEK ÁRUSZÁLLÍTÁSBÓL ÉS SZOLGÁLTATÁSBÓL (VEVŐK)</t>
  </si>
  <si>
    <t>311</t>
  </si>
  <si>
    <t>Belföldi követelések (forintban)</t>
  </si>
  <si>
    <t>361</t>
  </si>
  <si>
    <t>Munkavállalókkal szembeni követelések</t>
  </si>
  <si>
    <t>3612</t>
  </si>
  <si>
    <t>Elszámolásra kiadott előleg</t>
  </si>
  <si>
    <t>38</t>
  </si>
  <si>
    <t>PÉNZESZKÖZÖK</t>
  </si>
  <si>
    <t>381</t>
  </si>
  <si>
    <t>Pénztár</t>
  </si>
  <si>
    <t>384</t>
  </si>
  <si>
    <t>Elszámolási betétszámlák</t>
  </si>
  <si>
    <t>3841</t>
  </si>
  <si>
    <t>AXA Elszámolási betétszámla</t>
  </si>
  <si>
    <t>389</t>
  </si>
  <si>
    <t>Átvezetési számlák</t>
  </si>
  <si>
    <t>3891</t>
  </si>
  <si>
    <t>Pénztár és betétszámla közötti átvezetések</t>
  </si>
  <si>
    <t>3*</t>
  </si>
  <si>
    <t>*</t>
  </si>
  <si>
    <t>SZÁMLAOSZTÁLY ÖSSZESEN:</t>
  </si>
  <si>
    <t>41</t>
  </si>
  <si>
    <t>SAJÁT TŐKE</t>
  </si>
  <si>
    <t>413</t>
  </si>
  <si>
    <t>Eredménytartalék</t>
  </si>
  <si>
    <t>45</t>
  </si>
  <si>
    <t>Szállítók</t>
  </si>
  <si>
    <t>451</t>
  </si>
  <si>
    <t>Rövid lejáratú kölcsönök</t>
  </si>
  <si>
    <t>4512</t>
  </si>
  <si>
    <t>Egyéb rövid lejáratú kölcsönök</t>
  </si>
  <si>
    <t>454</t>
  </si>
  <si>
    <t>Belföldi szállítók</t>
  </si>
  <si>
    <t>46</t>
  </si>
  <si>
    <t>RÖVID LEJÁRATÚ KÖTELEZETTSÉGEK ADÓK MIATT</t>
  </si>
  <si>
    <t>462</t>
  </si>
  <si>
    <t>Személyi jövedelemadó elszámolása</t>
  </si>
  <si>
    <t>463</t>
  </si>
  <si>
    <t>Költségvetési befizetési kötelezettségek</t>
  </si>
  <si>
    <t>4634</t>
  </si>
  <si>
    <t>Egészségügyi hozzájárulás</t>
  </si>
  <si>
    <t>4636</t>
  </si>
  <si>
    <t>Egészségbizt. és mpj alap (4+2%+1,5%)</t>
  </si>
  <si>
    <t>4637</t>
  </si>
  <si>
    <t>Nyugdíjbiztosítási alap (8,5%,24%)</t>
  </si>
  <si>
    <t>48</t>
  </si>
  <si>
    <t>PASSZíV IDŐBELI ELHATÁROLÁSOK</t>
  </si>
  <si>
    <t>481</t>
  </si>
  <si>
    <t>Bevételek passzív időbeli elhatárolása</t>
  </si>
  <si>
    <t>49</t>
  </si>
  <si>
    <t>ÉVI MÉRLEGSZÁMLÁK</t>
  </si>
  <si>
    <t>491</t>
  </si>
  <si>
    <t>Nyitómérleg számla</t>
  </si>
  <si>
    <t>4*</t>
  </si>
  <si>
    <t>51</t>
  </si>
  <si>
    <t>ANYAGKÖLTSÉG</t>
  </si>
  <si>
    <t>511</t>
  </si>
  <si>
    <t>Anyagköltség</t>
  </si>
  <si>
    <t>52</t>
  </si>
  <si>
    <t>IGÉNYBE VETT SZOLGÁLTATÁSOK KÖLTSÉGEI</t>
  </si>
  <si>
    <t>522</t>
  </si>
  <si>
    <t>Bérleti díjak</t>
  </si>
  <si>
    <t>526</t>
  </si>
  <si>
    <t>Utazási költségek</t>
  </si>
  <si>
    <t>527</t>
  </si>
  <si>
    <t>Szakmai szolgáltatás költségei</t>
  </si>
  <si>
    <t>529</t>
  </si>
  <si>
    <t>Egyéb igénybe vett szolgáltatások költségei</t>
  </si>
  <si>
    <t>53</t>
  </si>
  <si>
    <t>EGYÉB SZOLGÁLTATÁSOK KÖLTSÉGEI</t>
  </si>
  <si>
    <t>532</t>
  </si>
  <si>
    <t>Pénzügyi, befektetési szolgáltatási díjak</t>
  </si>
  <si>
    <t>55</t>
  </si>
  <si>
    <t>SZEMÉLYI JELLEGŰ EGYÉB KIFIZETÉSEK</t>
  </si>
  <si>
    <t>554</t>
  </si>
  <si>
    <t>Egyéb személyi jellegű kifizetések</t>
  </si>
  <si>
    <t>5559</t>
  </si>
  <si>
    <t>Term.beni jutattatás SZJA</t>
  </si>
  <si>
    <t>559</t>
  </si>
  <si>
    <t>Reprezentáció</t>
  </si>
  <si>
    <t>5592</t>
  </si>
  <si>
    <t>Kisértékű tárgyi ajándék</t>
  </si>
  <si>
    <t>56</t>
  </si>
  <si>
    <t>BÉRJÁRULÉKOK</t>
  </si>
  <si>
    <t>562</t>
  </si>
  <si>
    <t>59</t>
  </si>
  <si>
    <t>KÖLTSÉGNEM ÁTVEZETÉSI SZÁLA</t>
  </si>
  <si>
    <t>5951</t>
  </si>
  <si>
    <t>Anyagköltség átvezetési számla</t>
  </si>
  <si>
    <t>5952</t>
  </si>
  <si>
    <t>Igénybe vett szolgáltatások átvezetési számla</t>
  </si>
  <si>
    <t>5953</t>
  </si>
  <si>
    <t>Egyéb szolgáltatások költségei átvezetési számla</t>
  </si>
  <si>
    <t>5955</t>
  </si>
  <si>
    <t>Személyi jellegű egyéb kifizetések átvezetési számla</t>
  </si>
  <si>
    <t>5956</t>
  </si>
  <si>
    <t>Bérjárulékok átvezetési számla</t>
  </si>
  <si>
    <t>5*</t>
  </si>
  <si>
    <t>81</t>
  </si>
  <si>
    <t>ANYAGJELLEGŰ RÁFORDÍTÁSOK</t>
  </si>
  <si>
    <t>811</t>
  </si>
  <si>
    <t>812</t>
  </si>
  <si>
    <t>Igénybevett szolgáltatások értéke</t>
  </si>
  <si>
    <t>813</t>
  </si>
  <si>
    <t>Egyéb szolgáltatások értéke</t>
  </si>
  <si>
    <t>82</t>
  </si>
  <si>
    <t>SZEMÉLYI JELLEGŰ RÁFORDÍTÁSOK</t>
  </si>
  <si>
    <t>822</t>
  </si>
  <si>
    <t>Személyi jellegű egyéb kifizetések</t>
  </si>
  <si>
    <t>823</t>
  </si>
  <si>
    <t>Bérjárulékok</t>
  </si>
  <si>
    <t>86</t>
  </si>
  <si>
    <t>EGYÉB RÁFORDÍTÁSOK</t>
  </si>
  <si>
    <t>863</t>
  </si>
  <si>
    <t>Mérleg fordulónap előtt bekövetkezett eseményeknek az üzleti évhez kapcs ráford.</t>
  </si>
  <si>
    <t>8636</t>
  </si>
  <si>
    <t>Kerekítés</t>
  </si>
  <si>
    <t>8*</t>
  </si>
  <si>
    <t>91</t>
  </si>
  <si>
    <t>ALAPTEVÉKENYSÉG BEVÉTELE</t>
  </si>
  <si>
    <t>911</t>
  </si>
  <si>
    <t>Közhasznú működésre kapott támogatások</t>
  </si>
  <si>
    <t>9112</t>
  </si>
  <si>
    <t>9114</t>
  </si>
  <si>
    <t>Egyéb támogatás</t>
  </si>
  <si>
    <t>91141</t>
  </si>
  <si>
    <t>Szja 1%</t>
  </si>
  <si>
    <t>91143</t>
  </si>
  <si>
    <t>9116</t>
  </si>
  <si>
    <t>Magánszemélyektől kapott támogatás</t>
  </si>
  <si>
    <t>9117</t>
  </si>
  <si>
    <t>Egyéb szervezetektől kapott támogatás</t>
  </si>
  <si>
    <t>913</t>
  </si>
  <si>
    <t>9131</t>
  </si>
  <si>
    <t>Tájoló</t>
  </si>
  <si>
    <t>9132</t>
  </si>
  <si>
    <t>Térkép, szakkönyv</t>
  </si>
  <si>
    <t>9134</t>
  </si>
  <si>
    <t>9138</t>
  </si>
  <si>
    <t>Alaptevékenységhez kapcs. kereskedelmi szerz. bevétele</t>
  </si>
  <si>
    <t>916</t>
  </si>
  <si>
    <t>Nevezési díj</t>
  </si>
  <si>
    <t>96</t>
  </si>
  <si>
    <t>EGYÉB BEVÉTELEK</t>
  </si>
  <si>
    <t>963</t>
  </si>
  <si>
    <t>A mérlegkészítés ip-jáig pü-ileg rend.az üzleti évhez kapcs, egyéb bevételek</t>
  </si>
  <si>
    <t>9636</t>
  </si>
  <si>
    <t>97</t>
  </si>
  <si>
    <t>PÉNZÜGYI MŰVELETEK BEVÉTELEI</t>
  </si>
  <si>
    <t>974</t>
  </si>
  <si>
    <t>Egyéb kapott (járó) kamatok és kamatjellegű bevételek</t>
  </si>
  <si>
    <t>9746</t>
  </si>
  <si>
    <t>Bankkamat bevétele</t>
  </si>
  <si>
    <t>9*</t>
  </si>
  <si>
    <t>tám.</t>
  </si>
  <si>
    <t>Követelések</t>
  </si>
  <si>
    <t>Budapest, 2013. április 16.</t>
  </si>
  <si>
    <t>Működés, sportszakmai feladatok</t>
  </si>
  <si>
    <t>Sportszakmai feladatok</t>
  </si>
  <si>
    <t>Bp. Tájfutó Sp.</t>
  </si>
  <si>
    <t>Támogatások</t>
  </si>
  <si>
    <t>Korábbi évek eredménye</t>
  </si>
  <si>
    <t>az esélyegyenlőség jegyében mindenki, de főként a 8-85 éves nők és férfiak</t>
  </si>
  <si>
    <t>kb. 10 ezer fő</t>
  </si>
  <si>
    <t>Sporttörvény (2004. évi I. törvény) 49. § a, c, e, f pontok</t>
  </si>
  <si>
    <t>az egészséges életmód és a szabadidősport népszerűsítése a tájékozódási futáson keresztül</t>
  </si>
  <si>
    <t>a közhasznú tevékenység főbb eredményei:</t>
  </si>
  <si>
    <t>a közhasznú tevékenység célcsoportja: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</si>
</sst>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00"/>
    <numFmt numFmtId="173" formatCode="0.0000"/>
    <numFmt numFmtId="174" formatCode="yy\.mm\.dd"/>
    <numFmt numFmtId="175" formatCode="0.0"/>
    <numFmt numFmtId="176" formatCode="0.000"/>
    <numFmt numFmtId="177" formatCode="0_ ;[Red]\-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_-* #,##0\ _F_t_-;\-* #,##0\ _F_t_-;_-* &quot;-&quot;??\ _F_t_-;_-@_-"/>
    <numFmt numFmtId="186" formatCode="#,##0.000"/>
    <numFmt numFmtId="187" formatCode="#,##0.0000"/>
    <numFmt numFmtId="188" formatCode="0;[Red]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#,##0_ ;\-#,##0\ "/>
    <numFmt numFmtId="193" formatCode="#,##0\ &quot;Ft&quot;"/>
    <numFmt numFmtId="194" formatCode="#,##0\ _F_t"/>
    <numFmt numFmtId="195" formatCode="0.0000%"/>
    <numFmt numFmtId="196" formatCode="#,##0\ &quot;Ft&quot;_);\(#,##0\ &quot;Ft&quot;\)"/>
    <numFmt numFmtId="197" formatCode="#,##0\ &quot;Ft&quot;_);[Red]\(#,##0\ &quot;Ft&quot;\)"/>
    <numFmt numFmtId="198" formatCode="#,##0.00\ &quot;Ft&quot;_);\(#,##0.00\ &quot;Ft&quot;\)"/>
    <numFmt numFmtId="199" formatCode="#,##0.00\ &quot;Ft&quot;_);[Red]\(#,##0.00\ &quot;Ft&quot;\)"/>
    <numFmt numFmtId="200" formatCode="_ * #,##0_)\ &quot;Ft&quot;_ ;_ * \(#,##0\)\ &quot;Ft&quot;_ ;_ * &quot;-&quot;_)\ &quot;Ft&quot;_ ;_ @_ "/>
    <numFmt numFmtId="201" formatCode="_ * #,##0_)\ _F_t_ ;_ * \(#,##0\)\ _F_t_ ;_ * &quot;-&quot;_)\ _F_t_ ;_ @_ "/>
    <numFmt numFmtId="202" formatCode="_ * #,##0.00_)\ &quot;Ft&quot;_ ;_ * \(#,##0.00\)\ &quot;Ft&quot;_ ;_ * &quot;-&quot;??_)\ &quot;Ft&quot;_ ;_ @_ "/>
    <numFmt numFmtId="203" formatCode="_ * #,##0.00_)\ _F_t_ ;_ * \(#,##0.00\)\ _F_t_ ;_ * &quot;-&quot;??_)\ _F_t_ ;_ @_ "/>
    <numFmt numFmtId="204" formatCode="mmm/yyyy"/>
    <numFmt numFmtId="205" formatCode="[$€-2]\ #\ ##,000_);[Red]\([$€-2]\ #\ ##,000\)"/>
    <numFmt numFmtId="206" formatCode="[$-40E]mmmm\ d\.;@"/>
    <numFmt numFmtId="207" formatCode="[$-F800]dddd\,\ mmmm\ dd\,\ yyyy"/>
    <numFmt numFmtId="208" formatCode="_-* #,##0\ _F_t_._-;\-* #,##0\ _F_t_._-;_-* &quot;-&quot;??\ _F_t_._-;_-@_-"/>
    <numFmt numFmtId="209" formatCode="[$-40E]yyyy\.\ mmmm\ d\."/>
    <numFmt numFmtId="210" formatCode="yy\ mm\ dd"/>
    <numFmt numFmtId="211" formatCode="0.0%"/>
    <numFmt numFmtId="212" formatCode="0.000%"/>
    <numFmt numFmtId="213" formatCode="0.00000%"/>
    <numFmt numFmtId="214" formatCode="0.000000%"/>
  </numFmts>
  <fonts count="58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9.5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36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2"/>
      <color indexed="12"/>
      <name val="Arial CE"/>
      <family val="0"/>
    </font>
    <font>
      <b/>
      <sz val="20"/>
      <name val="Arial CE"/>
      <family val="2"/>
    </font>
    <font>
      <b/>
      <i/>
      <sz val="9"/>
      <name val="Arial CE"/>
      <family val="0"/>
    </font>
    <font>
      <b/>
      <sz val="11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9.5"/>
      <name val="Arial CE"/>
      <family val="0"/>
    </font>
    <font>
      <b/>
      <u val="single"/>
      <sz val="9"/>
      <name val="Arial CE"/>
      <family val="0"/>
    </font>
    <font>
      <b/>
      <sz val="14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0"/>
    </font>
    <font>
      <sz val="10"/>
      <color indexed="9"/>
      <name val="Arial CE"/>
      <family val="0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8" fillId="4" borderId="0" applyNumberFormat="0" applyBorder="0" applyAlignment="0" applyProtection="0"/>
    <xf numFmtId="0" fontId="49" fillId="22" borderId="8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23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vertical="center" indent="8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172" fontId="5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" fontId="5" fillId="0" borderId="25" xfId="0" applyNumberFormat="1" applyFont="1" applyBorder="1" applyAlignment="1">
      <alignment horizontal="right" vertical="center"/>
    </xf>
    <xf numFmtId="172" fontId="5" fillId="0" borderId="26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indent="1"/>
    </xf>
    <xf numFmtId="0" fontId="0" fillId="0" borderId="14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horizontal="left" vertical="center" inden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172" fontId="5" fillId="0" borderId="26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2" fontId="5" fillId="0" borderId="25" xfId="0" applyNumberFormat="1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0" fillId="0" borderId="31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Continuous"/>
    </xf>
    <xf numFmtId="3" fontId="5" fillId="0" borderId="2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Border="1" applyAlignment="1">
      <alignment horizontal="centerContinuous"/>
    </xf>
    <xf numFmtId="172" fontId="5" fillId="0" borderId="25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172" fontId="5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 indent="1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 vertical="center"/>
    </xf>
    <xf numFmtId="3" fontId="0" fillId="0" borderId="36" xfId="0" applyNumberFormat="1" applyFont="1" applyBorder="1" applyAlignment="1">
      <alignment/>
    </xf>
    <xf numFmtId="0" fontId="0" fillId="0" borderId="21" xfId="0" applyFont="1" applyBorder="1" applyAlignment="1">
      <alignment/>
    </xf>
    <xf numFmtId="172" fontId="5" fillId="0" borderId="38" xfId="0" applyNumberFormat="1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5" fillId="0" borderId="38" xfId="0" applyFont="1" applyBorder="1" applyAlignment="1">
      <alignment/>
    </xf>
    <xf numFmtId="3" fontId="5" fillId="0" borderId="38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/>
    </xf>
    <xf numFmtId="1" fontId="0" fillId="0" borderId="39" xfId="0" applyNumberFormat="1" applyFont="1" applyBorder="1" applyAlignment="1">
      <alignment horizontal="right" vertical="center"/>
    </xf>
    <xf numFmtId="1" fontId="0" fillId="0" borderId="40" xfId="0" applyNumberFormat="1" applyFont="1" applyBorder="1" applyAlignment="1">
      <alignment horizontal="right" vertical="center"/>
    </xf>
    <xf numFmtId="1" fontId="0" fillId="0" borderId="41" xfId="0" applyNumberFormat="1" applyFont="1" applyBorder="1" applyAlignment="1">
      <alignment horizontal="right" vertical="center"/>
    </xf>
    <xf numFmtId="172" fontId="0" fillId="0" borderId="24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0" fontId="7" fillId="0" borderId="27" xfId="0" applyFont="1" applyBorder="1" applyAlignment="1">
      <alignment horizontal="left" vertical="center" indent="1"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42" xfId="0" applyBorder="1" applyAlignment="1">
      <alignment/>
    </xf>
    <xf numFmtId="172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 vertical="center" indent="1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Border="1" applyAlignment="1" quotePrefix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0" fillId="0" borderId="43" xfId="0" applyFont="1" applyBorder="1" applyAlignment="1">
      <alignment horizontal="left" vertical="center" indent="1"/>
    </xf>
    <xf numFmtId="0" fontId="0" fillId="0" borderId="44" xfId="0" applyFont="1" applyBorder="1" applyAlignment="1">
      <alignment vertical="center"/>
    </xf>
    <xf numFmtId="3" fontId="0" fillId="0" borderId="44" xfId="0" applyNumberFormat="1" applyFont="1" applyBorder="1" applyAlignment="1">
      <alignment/>
    </xf>
    <xf numFmtId="3" fontId="5" fillId="0" borderId="14" xfId="0" applyNumberFormat="1" applyFont="1" applyBorder="1" applyAlignment="1">
      <alignment vertical="center"/>
    </xf>
    <xf numFmtId="0" fontId="4" fillId="0" borderId="45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right"/>
    </xf>
    <xf numFmtId="0" fontId="0" fillId="0" borderId="48" xfId="0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63">
      <alignment/>
      <protection/>
    </xf>
    <xf numFmtId="0" fontId="5" fillId="22" borderId="39" xfId="63" applyFont="1" applyFill="1" applyBorder="1" applyAlignment="1">
      <alignment horizontal="center" vertical="center"/>
      <protection/>
    </xf>
    <xf numFmtId="0" fontId="0" fillId="22" borderId="49" xfId="63" applyFill="1" applyBorder="1" applyAlignment="1">
      <alignment horizontal="center" vertical="center" wrapText="1"/>
      <protection/>
    </xf>
    <xf numFmtId="0" fontId="0" fillId="22" borderId="24" xfId="63" applyFill="1" applyBorder="1" applyAlignment="1">
      <alignment horizontal="center" vertical="center" wrapText="1"/>
      <protection/>
    </xf>
    <xf numFmtId="0" fontId="0" fillId="0" borderId="50" xfId="63" applyBorder="1" applyAlignment="1">
      <alignment horizontal="center" vertical="center"/>
      <protection/>
    </xf>
    <xf numFmtId="3" fontId="0" fillId="0" borderId="0" xfId="63" applyNumberFormat="1" applyBorder="1" applyAlignment="1">
      <alignment vertical="center"/>
      <protection/>
    </xf>
    <xf numFmtId="0" fontId="0" fillId="0" borderId="51" xfId="63" applyBorder="1" applyAlignment="1">
      <alignment vertical="center"/>
      <protection/>
    </xf>
    <xf numFmtId="0" fontId="0" fillId="0" borderId="38" xfId="63" applyBorder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1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 wrapText="1"/>
      <protection/>
    </xf>
    <xf numFmtId="0" fontId="0" fillId="0" borderId="0" xfId="63" applyFill="1" applyBorder="1" applyAlignment="1">
      <alignment horizontal="center" vertical="center"/>
      <protection/>
    </xf>
    <xf numFmtId="3" fontId="0" fillId="0" borderId="0" xfId="63" applyNumberFormat="1" applyFill="1" applyBorder="1" applyAlignment="1">
      <alignment/>
      <protection/>
    </xf>
    <xf numFmtId="0" fontId="0" fillId="0" borderId="0" xfId="63" applyBorder="1" applyAlignment="1">
      <alignment/>
      <protection/>
    </xf>
    <xf numFmtId="0" fontId="0" fillId="0" borderId="0" xfId="63" applyFill="1" applyBorder="1" applyAlignment="1">
      <alignment vertical="center"/>
      <protection/>
    </xf>
    <xf numFmtId="0" fontId="16" fillId="0" borderId="0" xfId="63" applyFont="1" applyBorder="1" applyAlignment="1">
      <alignment horizontal="center" vertical="top"/>
      <protection/>
    </xf>
    <xf numFmtId="3" fontId="0" fillId="0" borderId="0" xfId="63" applyNumberForma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2" fontId="0" fillId="0" borderId="1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172" fontId="0" fillId="0" borderId="44" xfId="0" applyNumberFormat="1" applyFont="1" applyBorder="1" applyAlignment="1">
      <alignment vertical="center"/>
    </xf>
    <xf numFmtId="1" fontId="17" fillId="0" borderId="0" xfId="64" applyNumberFormat="1" applyFont="1" applyAlignment="1">
      <alignment horizontal="center"/>
      <protection/>
    </xf>
    <xf numFmtId="1" fontId="19" fillId="0" borderId="25" xfId="64" applyNumberFormat="1" applyFont="1" applyBorder="1" applyAlignment="1">
      <alignment horizontal="center"/>
      <protection/>
    </xf>
    <xf numFmtId="1" fontId="17" fillId="0" borderId="18" xfId="64" applyNumberFormat="1" applyFont="1" applyBorder="1">
      <alignment/>
      <protection/>
    </xf>
    <xf numFmtId="1" fontId="19" fillId="0" borderId="40" xfId="64" applyNumberFormat="1" applyFont="1" applyBorder="1" applyAlignment="1">
      <alignment horizontal="center"/>
      <protection/>
    </xf>
    <xf numFmtId="1" fontId="19" fillId="0" borderId="49" xfId="64" applyNumberFormat="1" applyFont="1" applyBorder="1">
      <alignment/>
      <protection/>
    </xf>
    <xf numFmtId="49" fontId="19" fillId="0" borderId="40" xfId="64" applyNumberFormat="1" applyFont="1" applyBorder="1" applyAlignment="1">
      <alignment horizontal="center"/>
      <protection/>
    </xf>
    <xf numFmtId="49" fontId="19" fillId="0" borderId="25" xfId="64" applyNumberFormat="1" applyFont="1" applyBorder="1" applyAlignment="1">
      <alignment horizontal="center"/>
      <protection/>
    </xf>
    <xf numFmtId="1" fontId="20" fillId="0" borderId="18" xfId="64" applyNumberFormat="1" applyFont="1" applyBorder="1">
      <alignment/>
      <protection/>
    </xf>
    <xf numFmtId="1" fontId="19" fillId="0" borderId="0" xfId="64" applyNumberFormat="1" applyFont="1" applyAlignment="1">
      <alignment horizontal="center"/>
      <protection/>
    </xf>
    <xf numFmtId="1" fontId="19" fillId="0" borderId="0" xfId="64" applyNumberFormat="1" applyFont="1">
      <alignment/>
      <protection/>
    </xf>
    <xf numFmtId="1" fontId="19" fillId="0" borderId="16" xfId="64" applyNumberFormat="1" applyFont="1" applyBorder="1" applyAlignment="1">
      <alignment horizontal="center"/>
      <protection/>
    </xf>
    <xf numFmtId="1" fontId="19" fillId="0" borderId="52" xfId="64" applyNumberFormat="1" applyFont="1" applyBorder="1" applyAlignment="1">
      <alignment horizontal="center"/>
      <protection/>
    </xf>
    <xf numFmtId="0" fontId="19" fillId="0" borderId="53" xfId="0" applyFont="1" applyBorder="1" applyAlignment="1">
      <alignment horizontal="left" vertical="center"/>
    </xf>
    <xf numFmtId="1" fontId="19" fillId="0" borderId="54" xfId="64" applyNumberFormat="1" applyFont="1" applyBorder="1" applyAlignment="1">
      <alignment horizontal="center"/>
      <protection/>
    </xf>
    <xf numFmtId="0" fontId="19" fillId="0" borderId="49" xfId="0" applyFont="1" applyBorder="1" applyAlignment="1">
      <alignment horizontal="left" vertical="center"/>
    </xf>
    <xf numFmtId="1" fontId="19" fillId="0" borderId="55" xfId="64" applyNumberFormat="1" applyFont="1" applyBorder="1" applyAlignment="1">
      <alignment horizontal="center"/>
      <protection/>
    </xf>
    <xf numFmtId="0" fontId="19" fillId="0" borderId="49" xfId="0" applyFont="1" applyFill="1" applyBorder="1" applyAlignment="1">
      <alignment horizontal="left" vertical="center"/>
    </xf>
    <xf numFmtId="1" fontId="19" fillId="0" borderId="0" xfId="64" applyNumberFormat="1" applyFont="1" applyAlignment="1">
      <alignment horizontal="left"/>
      <protection/>
    </xf>
    <xf numFmtId="3" fontId="19" fillId="0" borderId="0" xfId="64" applyNumberFormat="1" applyFont="1">
      <alignment/>
      <protection/>
    </xf>
    <xf numFmtId="0" fontId="19" fillId="0" borderId="0" xfId="64" applyFont="1">
      <alignment/>
      <protection/>
    </xf>
    <xf numFmtId="1" fontId="20" fillId="0" borderId="0" xfId="64" applyNumberFormat="1" applyFont="1" applyAlignment="1">
      <alignment horizontal="left"/>
      <protection/>
    </xf>
    <xf numFmtId="1" fontId="20" fillId="0" borderId="0" xfId="64" applyNumberFormat="1" applyFont="1" applyAlignment="1">
      <alignment horizontal="center"/>
      <protection/>
    </xf>
    <xf numFmtId="0" fontId="19" fillId="0" borderId="0" xfId="64" applyFont="1" applyAlignment="1">
      <alignment horizontal="center"/>
      <protection/>
    </xf>
    <xf numFmtId="0" fontId="21" fillId="0" borderId="0" xfId="64" applyFont="1" applyAlignment="1">
      <alignment horizontal="centerContinuous"/>
      <protection/>
    </xf>
    <xf numFmtId="3" fontId="17" fillId="0" borderId="0" xfId="64" applyNumberFormat="1" applyFont="1" applyAlignment="1">
      <alignment horizontal="center"/>
      <protection/>
    </xf>
    <xf numFmtId="0" fontId="19" fillId="0" borderId="38" xfId="64" applyFont="1" applyBorder="1" applyAlignment="1">
      <alignment horizontal="center"/>
      <protection/>
    </xf>
    <xf numFmtId="1" fontId="19" fillId="0" borderId="38" xfId="64" applyNumberFormat="1" applyFont="1" applyBorder="1">
      <alignment/>
      <protection/>
    </xf>
    <xf numFmtId="49" fontId="19" fillId="0" borderId="38" xfId="64" applyNumberFormat="1" applyFont="1" applyBorder="1" applyAlignment="1">
      <alignment horizontal="center"/>
      <protection/>
    </xf>
    <xf numFmtId="49" fontId="17" fillId="0" borderId="16" xfId="64" applyNumberFormat="1" applyFont="1" applyBorder="1" applyAlignment="1">
      <alignment horizontal="center"/>
      <protection/>
    </xf>
    <xf numFmtId="3" fontId="17" fillId="0" borderId="18" xfId="64" applyNumberFormat="1" applyFont="1" applyFill="1" applyBorder="1">
      <alignment/>
      <protection/>
    </xf>
    <xf numFmtId="49" fontId="19" fillId="0" borderId="54" xfId="64" applyNumberFormat="1" applyFont="1" applyBorder="1" applyAlignment="1">
      <alignment horizontal="center"/>
      <protection/>
    </xf>
    <xf numFmtId="0" fontId="19" fillId="0" borderId="53" xfId="0" applyFont="1" applyBorder="1" applyAlignment="1">
      <alignment horizontal="left" vertical="center" indent="1"/>
    </xf>
    <xf numFmtId="3" fontId="19" fillId="0" borderId="53" xfId="64" applyNumberFormat="1" applyFont="1" applyFill="1" applyBorder="1">
      <alignment/>
      <protection/>
    </xf>
    <xf numFmtId="49" fontId="19" fillId="0" borderId="55" xfId="64" applyNumberFormat="1" applyFont="1" applyBorder="1" applyAlignment="1">
      <alignment horizontal="center"/>
      <protection/>
    </xf>
    <xf numFmtId="0" fontId="19" fillId="0" borderId="49" xfId="0" applyFont="1" applyBorder="1" applyAlignment="1">
      <alignment horizontal="left" vertical="center" indent="2"/>
    </xf>
    <xf numFmtId="3" fontId="19" fillId="0" borderId="49" xfId="64" applyNumberFormat="1" applyFont="1" applyFill="1" applyBorder="1">
      <alignment/>
      <protection/>
    </xf>
    <xf numFmtId="0" fontId="19" fillId="0" borderId="49" xfId="0" applyFont="1" applyBorder="1" applyAlignment="1">
      <alignment horizontal="left" vertical="center" indent="1"/>
    </xf>
    <xf numFmtId="49" fontId="19" fillId="0" borderId="56" xfId="64" applyNumberFormat="1" applyFont="1" applyBorder="1" applyAlignment="1">
      <alignment horizontal="center"/>
      <protection/>
    </xf>
    <xf numFmtId="0" fontId="19" fillId="0" borderId="57" xfId="0" applyFont="1" applyBorder="1" applyAlignment="1">
      <alignment horizontal="left" vertical="center" indent="1"/>
    </xf>
    <xf numFmtId="3" fontId="19" fillId="0" borderId="57" xfId="64" applyNumberFormat="1" applyFont="1" applyFill="1" applyBorder="1">
      <alignment/>
      <protection/>
    </xf>
    <xf numFmtId="3" fontId="17" fillId="0" borderId="18" xfId="64" applyNumberFormat="1" applyFont="1" applyBorder="1">
      <alignment/>
      <protection/>
    </xf>
    <xf numFmtId="3" fontId="17" fillId="0" borderId="17" xfId="64" applyNumberFormat="1" applyFont="1" applyBorder="1">
      <alignment/>
      <protection/>
    </xf>
    <xf numFmtId="3" fontId="19" fillId="0" borderId="53" xfId="64" applyNumberFormat="1" applyFont="1" applyBorder="1">
      <alignment/>
      <protection/>
    </xf>
    <xf numFmtId="3" fontId="19" fillId="0" borderId="49" xfId="64" applyNumberFormat="1" applyFont="1" applyBorder="1">
      <alignment/>
      <protection/>
    </xf>
    <xf numFmtId="3" fontId="19" fillId="0" borderId="57" xfId="64" applyNumberFormat="1" applyFont="1" applyBorder="1">
      <alignment/>
      <protection/>
    </xf>
    <xf numFmtId="0" fontId="17" fillId="0" borderId="18" xfId="0" applyFont="1" applyBorder="1" applyAlignment="1">
      <alignment horizontal="left" vertical="center"/>
    </xf>
    <xf numFmtId="3" fontId="17" fillId="0" borderId="17" xfId="64" applyNumberFormat="1" applyFont="1" applyFill="1" applyBorder="1">
      <alignment/>
      <protection/>
    </xf>
    <xf numFmtId="3" fontId="19" fillId="0" borderId="18" xfId="64" applyNumberFormat="1" applyFont="1" applyBorder="1">
      <alignment/>
      <protection/>
    </xf>
    <xf numFmtId="1" fontId="19" fillId="0" borderId="0" xfId="64" applyNumberFormat="1" applyFont="1" applyBorder="1" applyAlignment="1">
      <alignment horizontal="center"/>
      <protection/>
    </xf>
    <xf numFmtId="1" fontId="19" fillId="0" borderId="0" xfId="64" applyNumberFormat="1" applyFont="1" applyBorder="1">
      <alignment/>
      <protection/>
    </xf>
    <xf numFmtId="3" fontId="20" fillId="0" borderId="0" xfId="64" applyNumberFormat="1" applyFont="1" applyBorder="1">
      <alignment/>
      <protection/>
    </xf>
    <xf numFmtId="1" fontId="20" fillId="0" borderId="38" xfId="64" applyNumberFormat="1" applyFont="1" applyBorder="1" applyAlignment="1">
      <alignment horizontal="left"/>
      <protection/>
    </xf>
    <xf numFmtId="1" fontId="20" fillId="0" borderId="38" xfId="64" applyNumberFormat="1" applyFont="1" applyBorder="1" applyAlignment="1">
      <alignment horizontal="center"/>
      <protection/>
    </xf>
    <xf numFmtId="3" fontId="19" fillId="0" borderId="58" xfId="64" applyNumberFormat="1" applyFont="1" applyFill="1" applyBorder="1">
      <alignment/>
      <protection/>
    </xf>
    <xf numFmtId="3" fontId="20" fillId="0" borderId="18" xfId="64" applyNumberFormat="1" applyFont="1" applyBorder="1">
      <alignment/>
      <protection/>
    </xf>
    <xf numFmtId="3" fontId="20" fillId="0" borderId="17" xfId="64" applyNumberFormat="1" applyFont="1" applyBorder="1">
      <alignment/>
      <protection/>
    </xf>
    <xf numFmtId="3" fontId="19" fillId="0" borderId="59" xfId="64" applyNumberFormat="1" applyFont="1" applyFill="1" applyBorder="1">
      <alignment/>
      <protection/>
    </xf>
    <xf numFmtId="3" fontId="19" fillId="0" borderId="60" xfId="64" applyNumberFormat="1" applyFont="1" applyFill="1" applyBorder="1">
      <alignment/>
      <protection/>
    </xf>
    <xf numFmtId="3" fontId="19" fillId="0" borderId="61" xfId="64" applyNumberFormat="1" applyFont="1" applyFill="1" applyBorder="1">
      <alignment/>
      <protection/>
    </xf>
    <xf numFmtId="3" fontId="19" fillId="0" borderId="62" xfId="64" applyNumberFormat="1" applyFont="1" applyFill="1" applyBorder="1">
      <alignment/>
      <protection/>
    </xf>
    <xf numFmtId="3" fontId="19" fillId="0" borderId="63" xfId="64" applyNumberFormat="1" applyFont="1" applyFill="1" applyBorder="1">
      <alignment/>
      <protection/>
    </xf>
    <xf numFmtId="3" fontId="23" fillId="0" borderId="0" xfId="64" applyNumberFormat="1" applyFont="1">
      <alignment/>
      <protection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0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3" fontId="17" fillId="0" borderId="14" xfId="64" applyNumberFormat="1" applyFont="1" applyFill="1" applyBorder="1">
      <alignment/>
      <protection/>
    </xf>
    <xf numFmtId="3" fontId="17" fillId="0" borderId="27" xfId="64" applyNumberFormat="1" applyFont="1" applyBorder="1">
      <alignment/>
      <protection/>
    </xf>
    <xf numFmtId="3" fontId="17" fillId="0" borderId="14" xfId="64" applyNumberFormat="1" applyFont="1" applyBorder="1">
      <alignment/>
      <protection/>
    </xf>
    <xf numFmtId="3" fontId="19" fillId="0" borderId="10" xfId="64" applyNumberFormat="1" applyFont="1" applyBorder="1">
      <alignment/>
      <protection/>
    </xf>
    <xf numFmtId="3" fontId="19" fillId="0" borderId="11" xfId="64" applyNumberFormat="1" applyFont="1" applyBorder="1">
      <alignment/>
      <protection/>
    </xf>
    <xf numFmtId="3" fontId="19" fillId="0" borderId="29" xfId="64" applyNumberFormat="1" applyFont="1" applyBorder="1">
      <alignment/>
      <protection/>
    </xf>
    <xf numFmtId="3" fontId="17" fillId="0" borderId="27" xfId="64" applyNumberFormat="1" applyFont="1" applyFill="1" applyBorder="1">
      <alignment/>
      <protection/>
    </xf>
    <xf numFmtId="3" fontId="19" fillId="0" borderId="14" xfId="64" applyNumberFormat="1" applyFont="1" applyBorder="1">
      <alignment/>
      <protection/>
    </xf>
    <xf numFmtId="3" fontId="19" fillId="0" borderId="64" xfId="64" applyNumberFormat="1" applyFont="1" applyBorder="1">
      <alignment/>
      <protection/>
    </xf>
    <xf numFmtId="3" fontId="19" fillId="0" borderId="58" xfId="64" applyNumberFormat="1" applyFont="1" applyBorder="1">
      <alignment/>
      <protection/>
    </xf>
    <xf numFmtId="3" fontId="19" fillId="0" borderId="65" xfId="64" applyNumberFormat="1" applyFont="1" applyBorder="1">
      <alignment/>
      <protection/>
    </xf>
    <xf numFmtId="3" fontId="19" fillId="0" borderId="17" xfId="64" applyNumberFormat="1" applyFont="1" applyBorder="1">
      <alignment/>
      <protection/>
    </xf>
    <xf numFmtId="3" fontId="19" fillId="0" borderId="22" xfId="64" applyNumberFormat="1" applyFont="1" applyFill="1" applyBorder="1">
      <alignment/>
      <protection/>
    </xf>
    <xf numFmtId="3" fontId="20" fillId="0" borderId="27" xfId="64" applyNumberFormat="1" applyFont="1" applyBorder="1">
      <alignment/>
      <protection/>
    </xf>
    <xf numFmtId="3" fontId="19" fillId="0" borderId="66" xfId="64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3" fontId="19" fillId="0" borderId="11" xfId="64" applyNumberFormat="1" applyFont="1" applyFill="1" applyBorder="1">
      <alignment/>
      <protection/>
    </xf>
    <xf numFmtId="3" fontId="19" fillId="0" borderId="29" xfId="64" applyNumberFormat="1" applyFont="1" applyFill="1" applyBorder="1">
      <alignment/>
      <protection/>
    </xf>
    <xf numFmtId="3" fontId="19" fillId="0" borderId="67" xfId="64" applyNumberFormat="1" applyFont="1" applyFill="1" applyBorder="1">
      <alignment/>
      <protection/>
    </xf>
    <xf numFmtId="3" fontId="19" fillId="0" borderId="37" xfId="64" applyNumberFormat="1" applyFont="1" applyFill="1" applyBorder="1">
      <alignment/>
      <protection/>
    </xf>
    <xf numFmtId="3" fontId="19" fillId="0" borderId="22" xfId="64" applyNumberFormat="1" applyFont="1" applyBorder="1">
      <alignment/>
      <protection/>
    </xf>
    <xf numFmtId="3" fontId="19" fillId="0" borderId="28" xfId="64" applyNumberFormat="1" applyFont="1" applyBorder="1">
      <alignment/>
      <protection/>
    </xf>
    <xf numFmtId="3" fontId="19" fillId="0" borderId="43" xfId="64" applyNumberFormat="1" applyFont="1" applyFill="1" applyBorder="1">
      <alignment/>
      <protection/>
    </xf>
    <xf numFmtId="3" fontId="17" fillId="0" borderId="68" xfId="64" applyNumberFormat="1" applyFont="1" applyFill="1" applyBorder="1">
      <alignment/>
      <protection/>
    </xf>
    <xf numFmtId="3" fontId="19" fillId="0" borderId="69" xfId="64" applyNumberFormat="1" applyFont="1" applyFill="1" applyBorder="1">
      <alignment/>
      <protection/>
    </xf>
    <xf numFmtId="3" fontId="19" fillId="0" borderId="70" xfId="64" applyNumberFormat="1" applyFont="1" applyFill="1" applyBorder="1">
      <alignment/>
      <protection/>
    </xf>
    <xf numFmtId="3" fontId="19" fillId="0" borderId="71" xfId="64" applyNumberFormat="1" applyFont="1" applyFill="1" applyBorder="1">
      <alignment/>
      <protection/>
    </xf>
    <xf numFmtId="3" fontId="17" fillId="0" borderId="68" xfId="64" applyNumberFormat="1" applyFont="1" applyBorder="1">
      <alignment/>
      <protection/>
    </xf>
    <xf numFmtId="3" fontId="19" fillId="0" borderId="69" xfId="64" applyNumberFormat="1" applyFont="1" applyBorder="1">
      <alignment/>
      <protection/>
    </xf>
    <xf numFmtId="3" fontId="19" fillId="0" borderId="70" xfId="64" applyNumberFormat="1" applyFont="1" applyBorder="1">
      <alignment/>
      <protection/>
    </xf>
    <xf numFmtId="3" fontId="19" fillId="0" borderId="71" xfId="64" applyNumberFormat="1" applyFont="1" applyBorder="1">
      <alignment/>
      <protection/>
    </xf>
    <xf numFmtId="3" fontId="19" fillId="0" borderId="68" xfId="64" applyNumberFormat="1" applyFont="1" applyBorder="1">
      <alignment/>
      <protection/>
    </xf>
    <xf numFmtId="3" fontId="20" fillId="0" borderId="68" xfId="64" applyNumberFormat="1" applyFont="1" applyBorder="1">
      <alignment/>
      <protection/>
    </xf>
    <xf numFmtId="3" fontId="19" fillId="0" borderId="72" xfId="64" applyNumberFormat="1" applyFont="1" applyFill="1" applyBorder="1">
      <alignment/>
      <protection/>
    </xf>
    <xf numFmtId="3" fontId="19" fillId="0" borderId="73" xfId="64" applyNumberFormat="1" applyFont="1" applyFill="1" applyBorder="1">
      <alignment/>
      <protection/>
    </xf>
    <xf numFmtId="3" fontId="19" fillId="0" borderId="74" xfId="64" applyNumberFormat="1" applyFont="1" applyFill="1" applyBorder="1">
      <alignment/>
      <protection/>
    </xf>
    <xf numFmtId="3" fontId="19" fillId="0" borderId="75" xfId="64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1" fillId="0" borderId="50" xfId="0" applyFont="1" applyBorder="1" applyAlignment="1" quotePrefix="1">
      <alignment vertical="center"/>
    </xf>
    <xf numFmtId="0" fontId="0" fillId="0" borderId="0" xfId="61" applyFont="1">
      <alignment/>
      <protection/>
    </xf>
    <xf numFmtId="0" fontId="0" fillId="0" borderId="29" xfId="0" applyBorder="1" applyAlignment="1">
      <alignment/>
    </xf>
    <xf numFmtId="3" fontId="17" fillId="0" borderId="15" xfId="64" applyNumberFormat="1" applyFont="1" applyBorder="1">
      <alignment/>
      <protection/>
    </xf>
    <xf numFmtId="3" fontId="20" fillId="0" borderId="15" xfId="64" applyNumberFormat="1" applyFont="1" applyBorder="1">
      <alignment/>
      <protection/>
    </xf>
    <xf numFmtId="0" fontId="19" fillId="0" borderId="0" xfId="65" applyFont="1" applyFill="1">
      <alignment/>
      <protection/>
    </xf>
    <xf numFmtId="0" fontId="0" fillId="0" borderId="0" xfId="0" applyFont="1" applyAlignment="1">
      <alignment/>
    </xf>
    <xf numFmtId="0" fontId="17" fillId="0" borderId="0" xfId="65" applyFont="1" applyFill="1">
      <alignment/>
      <protection/>
    </xf>
    <xf numFmtId="0" fontId="19" fillId="0" borderId="16" xfId="65" applyFont="1" applyFill="1" applyBorder="1" applyAlignment="1">
      <alignment horizontal="center"/>
      <protection/>
    </xf>
    <xf numFmtId="0" fontId="19" fillId="0" borderId="18" xfId="65" applyFont="1" applyFill="1" applyBorder="1" applyAlignment="1">
      <alignment horizontal="center"/>
      <protection/>
    </xf>
    <xf numFmtId="0" fontId="19" fillId="0" borderId="17" xfId="65" applyFont="1" applyFill="1" applyBorder="1" applyAlignment="1">
      <alignment horizontal="center"/>
      <protection/>
    </xf>
    <xf numFmtId="3" fontId="19" fillId="0" borderId="18" xfId="64" applyNumberFormat="1" applyFont="1" applyFill="1" applyBorder="1">
      <alignment/>
      <protection/>
    </xf>
    <xf numFmtId="3" fontId="19" fillId="0" borderId="64" xfId="64" applyNumberFormat="1" applyFont="1" applyFill="1" applyBorder="1">
      <alignment/>
      <protection/>
    </xf>
    <xf numFmtId="49" fontId="17" fillId="0" borderId="0" xfId="64" applyNumberFormat="1" applyFont="1" applyAlignment="1">
      <alignment horizontal="right"/>
      <protection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17" xfId="0" applyFont="1" applyBorder="1" applyAlignment="1" quotePrefix="1">
      <alignment horizontal="center" vertical="center"/>
    </xf>
    <xf numFmtId="0" fontId="26" fillId="0" borderId="0" xfId="0" applyFont="1" applyAlignment="1">
      <alignment horizontal="centerContinuous"/>
    </xf>
    <xf numFmtId="0" fontId="5" fillId="0" borderId="27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1" fontId="9" fillId="0" borderId="25" xfId="0" applyNumberFormat="1" applyFont="1" applyBorder="1" applyAlignment="1">
      <alignment horizontal="right" vertical="center"/>
    </xf>
    <xf numFmtId="172" fontId="9" fillId="0" borderId="26" xfId="0" applyNumberFormat="1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vertical="center"/>
    </xf>
    <xf numFmtId="0" fontId="0" fillId="0" borderId="0" xfId="0" applyNumberForma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55" xfId="0" applyFont="1" applyBorder="1" applyAlignment="1">
      <alignment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49" xfId="0" applyFont="1" applyBorder="1" applyAlignment="1">
      <alignment vertical="center" wrapText="1"/>
    </xf>
    <xf numFmtId="0" fontId="30" fillId="0" borderId="58" xfId="0" applyFont="1" applyBorder="1" applyAlignment="1">
      <alignment vertical="center" wrapText="1"/>
    </xf>
    <xf numFmtId="0" fontId="30" fillId="0" borderId="76" xfId="0" applyFont="1" applyBorder="1" applyAlignment="1">
      <alignment vertical="center" wrapText="1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56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 quotePrefix="1">
      <alignment vertical="center"/>
    </xf>
    <xf numFmtId="0" fontId="24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9" fontId="0" fillId="0" borderId="0" xfId="72" applyFont="1" applyBorder="1" applyAlignment="1">
      <alignment horizontal="center"/>
    </xf>
    <xf numFmtId="0" fontId="0" fillId="0" borderId="49" xfId="0" applyBorder="1" applyAlignment="1">
      <alignment vertical="center"/>
    </xf>
    <xf numFmtId="0" fontId="1" fillId="0" borderId="17" xfId="0" applyFont="1" applyBorder="1" applyAlignment="1" quotePrefix="1">
      <alignment vertical="center"/>
    </xf>
    <xf numFmtId="0" fontId="0" fillId="0" borderId="0" xfId="0" applyFill="1" applyAlignment="1">
      <alignment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horizontal="right" vertical="center"/>
    </xf>
    <xf numFmtId="172" fontId="5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1" fontId="0" fillId="0" borderId="77" xfId="0" applyNumberFormat="1" applyFont="1" applyBorder="1" applyAlignment="1">
      <alignment horizontal="right" vertical="center"/>
    </xf>
    <xf numFmtId="172" fontId="0" fillId="0" borderId="78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horizontal="right" vertical="center"/>
    </xf>
    <xf numFmtId="172" fontId="0" fillId="0" borderId="47" xfId="0" applyNumberFormat="1" applyFont="1" applyBorder="1" applyAlignment="1">
      <alignment vertical="center"/>
    </xf>
    <xf numFmtId="1" fontId="0" fillId="0" borderId="79" xfId="0" applyNumberFormat="1" applyFont="1" applyBorder="1" applyAlignment="1">
      <alignment horizontal="right" vertical="center"/>
    </xf>
    <xf numFmtId="172" fontId="0" fillId="0" borderId="80" xfId="0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vertical="center"/>
    </xf>
    <xf numFmtId="1" fontId="0" fillId="0" borderId="35" xfId="0" applyNumberFormat="1" applyFont="1" applyBorder="1" applyAlignment="1">
      <alignment horizontal="right" vertical="center"/>
    </xf>
    <xf numFmtId="172" fontId="0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 indent="1"/>
    </xf>
    <xf numFmtId="0" fontId="11" fillId="0" borderId="0" xfId="64">
      <alignment/>
      <protection/>
    </xf>
    <xf numFmtId="49" fontId="17" fillId="0" borderId="0" xfId="64" applyNumberFormat="1" applyFont="1" applyBorder="1" applyAlignment="1">
      <alignment horizontal="center"/>
      <protection/>
    </xf>
    <xf numFmtId="0" fontId="17" fillId="0" borderId="0" xfId="0" applyFont="1" applyBorder="1" applyAlignment="1">
      <alignment horizontal="left" vertical="center"/>
    </xf>
    <xf numFmtId="3" fontId="17" fillId="0" borderId="0" xfId="64" applyNumberFormat="1" applyFont="1" applyBorder="1">
      <alignment/>
      <protection/>
    </xf>
    <xf numFmtId="1" fontId="5" fillId="0" borderId="7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0" fillId="0" borderId="79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0" fillId="0" borderId="81" xfId="0" applyFont="1" applyBorder="1" applyAlignment="1">
      <alignment/>
    </xf>
    <xf numFmtId="1" fontId="0" fillId="0" borderId="41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10" fillId="0" borderId="49" xfId="0" applyFont="1" applyBorder="1" applyAlignment="1">
      <alignment horizontal="left" vertical="center" wrapText="1" indent="1"/>
    </xf>
    <xf numFmtId="0" fontId="10" fillId="0" borderId="58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9" fillId="0" borderId="0" xfId="64" applyFont="1" applyBorder="1">
      <alignment/>
      <protection/>
    </xf>
    <xf numFmtId="1" fontId="0" fillId="0" borderId="35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49" fontId="17" fillId="0" borderId="14" xfId="64" applyNumberFormat="1" applyFont="1" applyBorder="1" applyAlignment="1">
      <alignment horizontal="center"/>
      <protection/>
    </xf>
    <xf numFmtId="0" fontId="17" fillId="0" borderId="14" xfId="0" applyFont="1" applyBorder="1" applyAlignment="1">
      <alignment horizontal="left" vertical="center"/>
    </xf>
    <xf numFmtId="3" fontId="17" fillId="0" borderId="42" xfId="64" applyNumberFormat="1" applyFont="1" applyBorder="1">
      <alignment/>
      <protection/>
    </xf>
    <xf numFmtId="3" fontId="30" fillId="0" borderId="49" xfId="0" applyNumberFormat="1" applyFont="1" applyBorder="1" applyAlignment="1">
      <alignment vertical="center" wrapText="1"/>
    </xf>
    <xf numFmtId="3" fontId="30" fillId="0" borderId="58" xfId="0" applyNumberFormat="1" applyFont="1" applyBorder="1" applyAlignment="1">
      <alignment vertical="center" wrapText="1"/>
    </xf>
    <xf numFmtId="49" fontId="22" fillId="0" borderId="0" xfId="64" applyNumberFormat="1" applyFont="1" applyAlignment="1">
      <alignment horizontal="right"/>
      <protection/>
    </xf>
    <xf numFmtId="0" fontId="34" fillId="0" borderId="18" xfId="0" applyFont="1" applyBorder="1" applyAlignment="1">
      <alignment horizontal="left" vertical="center"/>
    </xf>
    <xf numFmtId="0" fontId="36" fillId="0" borderId="53" xfId="0" applyFont="1" applyBorder="1" applyAlignment="1">
      <alignment horizontal="left" vertical="center" indent="1"/>
    </xf>
    <xf numFmtId="0" fontId="36" fillId="0" borderId="49" xfId="0" applyFont="1" applyBorder="1" applyAlignment="1">
      <alignment horizontal="left" vertical="center" indent="1"/>
    </xf>
    <xf numFmtId="0" fontId="36" fillId="0" borderId="57" xfId="0" applyFont="1" applyBorder="1" applyAlignment="1">
      <alignment horizontal="left" vertical="center" indent="1"/>
    </xf>
    <xf numFmtId="3" fontId="19" fillId="0" borderId="82" xfId="64" applyNumberFormat="1" applyFont="1" applyFill="1" applyBorder="1">
      <alignment/>
      <protection/>
    </xf>
    <xf numFmtId="1" fontId="11" fillId="0" borderId="0" xfId="64" applyNumberFormat="1" applyAlignment="1">
      <alignment horizontal="center"/>
      <protection/>
    </xf>
    <xf numFmtId="1" fontId="11" fillId="0" borderId="0" xfId="64" applyNumberFormat="1">
      <alignment/>
      <protection/>
    </xf>
    <xf numFmtId="3" fontId="19" fillId="0" borderId="83" xfId="64" applyNumberFormat="1" applyFont="1" applyFill="1" applyBorder="1">
      <alignment/>
      <protection/>
    </xf>
    <xf numFmtId="3" fontId="19" fillId="0" borderId="17" xfId="64" applyNumberFormat="1" applyFont="1" applyFill="1" applyBorder="1">
      <alignment/>
      <protection/>
    </xf>
    <xf numFmtId="3" fontId="19" fillId="0" borderId="28" xfId="64" applyNumberFormat="1" applyFont="1" applyFill="1" applyBorder="1">
      <alignment/>
      <protection/>
    </xf>
    <xf numFmtId="3" fontId="0" fillId="0" borderId="67" xfId="0" applyNumberFormat="1" applyFont="1" applyBorder="1" applyAlignment="1">
      <alignment/>
    </xf>
    <xf numFmtId="0" fontId="0" fillId="0" borderId="41" xfId="0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3" fontId="30" fillId="0" borderId="49" xfId="0" applyNumberFormat="1" applyFont="1" applyBorder="1" applyAlignment="1">
      <alignment horizontal="right" vertical="center" wrapText="1"/>
    </xf>
    <xf numFmtId="0" fontId="30" fillId="0" borderId="55" xfId="0" applyFont="1" applyBorder="1" applyAlignment="1">
      <alignment horizontal="left" vertical="center" wrapText="1"/>
    </xf>
    <xf numFmtId="3" fontId="30" fillId="0" borderId="58" xfId="0" applyNumberFormat="1" applyFont="1" applyBorder="1" applyAlignment="1">
      <alignment horizontal="right" vertical="center" wrapText="1"/>
    </xf>
    <xf numFmtId="0" fontId="19" fillId="0" borderId="49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3" fontId="17" fillId="0" borderId="15" xfId="64" applyNumberFormat="1" applyFont="1" applyFill="1" applyBorder="1">
      <alignment/>
      <protection/>
    </xf>
    <xf numFmtId="3" fontId="19" fillId="0" borderId="67" xfId="64" applyNumberFormat="1" applyFont="1" applyBorder="1">
      <alignment/>
      <protection/>
    </xf>
    <xf numFmtId="3" fontId="19" fillId="0" borderId="23" xfId="64" applyNumberFormat="1" applyFont="1" applyBorder="1">
      <alignment/>
      <protection/>
    </xf>
    <xf numFmtId="3" fontId="0" fillId="0" borderId="49" xfId="0" applyNumberFormat="1" applyFont="1" applyBorder="1" applyAlignment="1">
      <alignment/>
    </xf>
    <xf numFmtId="0" fontId="5" fillId="0" borderId="27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wrapText="1" inden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vertical="center"/>
    </xf>
    <xf numFmtId="3" fontId="19" fillId="0" borderId="0" xfId="64" applyNumberFormat="1" applyFont="1" applyBorder="1">
      <alignment/>
      <protection/>
    </xf>
    <xf numFmtId="3" fontId="19" fillId="0" borderId="10" xfId="64" applyNumberFormat="1" applyFont="1" applyFill="1" applyBorder="1">
      <alignment/>
      <protection/>
    </xf>
    <xf numFmtId="3" fontId="19" fillId="0" borderId="23" xfId="64" applyNumberFormat="1" applyFont="1" applyFill="1" applyBorder="1">
      <alignment/>
      <protection/>
    </xf>
    <xf numFmtId="3" fontId="19" fillId="0" borderId="65" xfId="64" applyNumberFormat="1" applyFont="1" applyFill="1" applyBorder="1">
      <alignment/>
      <protection/>
    </xf>
    <xf numFmtId="3" fontId="19" fillId="0" borderId="27" xfId="64" applyNumberFormat="1" applyFont="1" applyBorder="1">
      <alignment/>
      <protection/>
    </xf>
    <xf numFmtId="3" fontId="19" fillId="0" borderId="45" xfId="64" applyNumberFormat="1" applyFont="1" applyFill="1" applyBorder="1">
      <alignment/>
      <protection/>
    </xf>
    <xf numFmtId="3" fontId="19" fillId="0" borderId="46" xfId="64" applyNumberFormat="1" applyFont="1" applyFill="1" applyBorder="1">
      <alignment/>
      <protection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9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40" xfId="0" applyFont="1" applyBorder="1" applyAlignment="1">
      <alignment/>
    </xf>
    <xf numFmtId="49" fontId="24" fillId="0" borderId="0" xfId="0" applyNumberFormat="1" applyFont="1" applyAlignment="1" applyProtection="1">
      <alignment horizontal="justify" vertical="top" wrapText="1"/>
      <protection locked="0"/>
    </xf>
    <xf numFmtId="49" fontId="0" fillId="0" borderId="0" xfId="0" applyNumberFormat="1" applyAlignment="1" applyProtection="1">
      <alignment horizontal="justify" vertical="top" wrapText="1"/>
      <protection locked="0"/>
    </xf>
    <xf numFmtId="0" fontId="5" fillId="0" borderId="78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7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4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2" fillId="0" borderId="0" xfId="65" applyFont="1" applyFill="1" applyAlignment="1">
      <alignment horizontal="center" vertical="top"/>
      <protection/>
    </xf>
    <xf numFmtId="0" fontId="17" fillId="0" borderId="52" xfId="65" applyFont="1" applyFill="1" applyBorder="1" applyAlignment="1">
      <alignment horizontal="left"/>
      <protection/>
    </xf>
    <xf numFmtId="0" fontId="17" fillId="0" borderId="67" xfId="65" applyFont="1" applyFill="1" applyBorder="1" applyAlignment="1">
      <alignment horizontal="left"/>
      <protection/>
    </xf>
    <xf numFmtId="0" fontId="17" fillId="0" borderId="81" xfId="65" applyFont="1" applyFill="1" applyBorder="1" applyAlignment="1">
      <alignment horizontal="left"/>
      <protection/>
    </xf>
    <xf numFmtId="0" fontId="19" fillId="0" borderId="55" xfId="65" applyFont="1" applyFill="1" applyBorder="1" applyAlignment="1">
      <alignment horizontal="left"/>
      <protection/>
    </xf>
    <xf numFmtId="0" fontId="19" fillId="0" borderId="49" xfId="65" applyFont="1" applyFill="1" applyBorder="1" applyAlignment="1">
      <alignment horizontal="left"/>
      <protection/>
    </xf>
    <xf numFmtId="0" fontId="19" fillId="0" borderId="58" xfId="65" applyFont="1" applyFill="1" applyBorder="1" applyAlignment="1">
      <alignment horizontal="left"/>
      <protection/>
    </xf>
    <xf numFmtId="0" fontId="19" fillId="0" borderId="41" xfId="65" applyFont="1" applyFill="1" applyBorder="1" applyAlignment="1">
      <alignment horizontal="left"/>
      <protection/>
    </xf>
    <xf numFmtId="0" fontId="19" fillId="0" borderId="29" xfId="65" applyFont="1" applyFill="1" applyBorder="1" applyAlignment="1">
      <alignment horizontal="left"/>
      <protection/>
    </xf>
    <xf numFmtId="0" fontId="19" fillId="0" borderId="33" xfId="65" applyFont="1" applyFill="1" applyBorder="1" applyAlignment="1">
      <alignment horizontal="left"/>
      <protection/>
    </xf>
    <xf numFmtId="0" fontId="19" fillId="0" borderId="77" xfId="65" applyFont="1" applyFill="1" applyBorder="1" applyAlignment="1">
      <alignment horizontal="left"/>
      <protection/>
    </xf>
    <xf numFmtId="0" fontId="19" fillId="0" borderId="20" xfId="65" applyFont="1" applyFill="1" applyBorder="1" applyAlignment="1">
      <alignment horizontal="left"/>
      <protection/>
    </xf>
    <xf numFmtId="0" fontId="19" fillId="0" borderId="84" xfId="65" applyFont="1" applyFill="1" applyBorder="1" applyAlignment="1">
      <alignment horizontal="left"/>
      <protection/>
    </xf>
    <xf numFmtId="0" fontId="0" fillId="0" borderId="40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2" fillId="11" borderId="49" xfId="6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3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3" fontId="5" fillId="0" borderId="46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3" fontId="0" fillId="0" borderId="37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/>
    </xf>
    <xf numFmtId="0" fontId="10" fillId="0" borderId="22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0" borderId="62" xfId="0" applyNumberFormat="1" applyFont="1" applyBorder="1" applyAlignment="1">
      <alignment horizontal="right" vertical="center"/>
    </xf>
    <xf numFmtId="3" fontId="0" fillId="0" borderId="76" xfId="0" applyNumberFormat="1" applyFont="1" applyBorder="1" applyAlignment="1">
      <alignment horizontal="right" vertical="center"/>
    </xf>
    <xf numFmtId="3" fontId="0" fillId="0" borderId="76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84" xfId="0" applyNumberFormat="1" applyFont="1" applyBorder="1" applyAlignment="1">
      <alignment horizontal="right" vertical="center"/>
    </xf>
    <xf numFmtId="1" fontId="5" fillId="0" borderId="79" xfId="0" applyNumberFormat="1" applyFont="1" applyBorder="1" applyAlignment="1">
      <alignment horizontal="left" vertical="center"/>
    </xf>
    <xf numFmtId="1" fontId="0" fillId="0" borderId="42" xfId="0" applyNumberFormat="1" applyFont="1" applyBorder="1" applyAlignment="1">
      <alignment horizontal="left" vertical="center"/>
    </xf>
    <xf numFmtId="1" fontId="0" fillId="0" borderId="85" xfId="0" applyNumberFormat="1" applyFont="1" applyBorder="1" applyAlignment="1">
      <alignment horizontal="lef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67" xfId="0" applyNumberFormat="1" applyFont="1" applyBorder="1" applyAlignment="1">
      <alignment horizontal="right" vertical="center"/>
    </xf>
    <xf numFmtId="3" fontId="0" fillId="0" borderId="8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horizontal="right" vertical="center"/>
    </xf>
    <xf numFmtId="3" fontId="0" fillId="0" borderId="6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4" xfId="0" applyBorder="1" applyAlignment="1">
      <alignment horizontal="left"/>
    </xf>
    <xf numFmtId="14" fontId="0" fillId="0" borderId="35" xfId="0" applyNumberFormat="1" applyBorder="1" applyAlignment="1">
      <alignment vertical="top"/>
    </xf>
    <xf numFmtId="14" fontId="0" fillId="0" borderId="21" xfId="0" applyNumberFormat="1" applyBorder="1" applyAlignment="1">
      <alignment vertical="top"/>
    </xf>
    <xf numFmtId="3" fontId="0" fillId="0" borderId="3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4" fillId="0" borderId="7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" fontId="0" fillId="0" borderId="4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38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4" fontId="0" fillId="0" borderId="40" xfId="0" applyNumberFormat="1" applyBorder="1" applyAlignment="1">
      <alignment vertical="top"/>
    </xf>
    <xf numFmtId="14" fontId="0" fillId="0" borderId="12" xfId="0" applyNumberFormat="1" applyBorder="1" applyAlignment="1">
      <alignment vertical="top"/>
    </xf>
    <xf numFmtId="3" fontId="0" fillId="0" borderId="12" xfId="0" applyNumberForma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3" fontId="0" fillId="0" borderId="20" xfId="0" applyNumberFormat="1" applyBorder="1" applyAlignment="1">
      <alignment/>
    </xf>
    <xf numFmtId="14" fontId="0" fillId="0" borderId="77" xfId="0" applyNumberFormat="1" applyBorder="1" applyAlignment="1">
      <alignment vertical="top"/>
    </xf>
    <xf numFmtId="14" fontId="0" fillId="0" borderId="84" xfId="0" applyNumberFormat="1" applyBorder="1" applyAlignment="1">
      <alignment vertical="top"/>
    </xf>
    <xf numFmtId="3" fontId="0" fillId="0" borderId="84" xfId="0" applyNumberFormat="1" applyBorder="1" applyAlignment="1">
      <alignment/>
    </xf>
    <xf numFmtId="14" fontId="0" fillId="0" borderId="41" xfId="0" applyNumberFormat="1" applyBorder="1" applyAlignment="1">
      <alignment vertical="top"/>
    </xf>
    <xf numFmtId="14" fontId="0" fillId="0" borderId="33" xfId="0" applyNumberFormat="1" applyBorder="1" applyAlignment="1">
      <alignment vertical="top"/>
    </xf>
    <xf numFmtId="3" fontId="0" fillId="0" borderId="33" xfId="0" applyNumberFormat="1" applyBorder="1" applyAlignment="1">
      <alignment/>
    </xf>
    <xf numFmtId="0" fontId="24" fillId="0" borderId="0" xfId="0" applyNumberFormat="1" applyFont="1" applyAlignment="1" applyProtection="1">
      <alignment horizontal="left" vertical="top" wrapText="1"/>
      <protection locked="0"/>
    </xf>
    <xf numFmtId="10" fontId="0" fillId="0" borderId="49" xfId="72" applyNumberFormat="1" applyFont="1" applyBorder="1" applyAlignment="1">
      <alignment horizontal="center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left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9" xfId="0" applyBorder="1" applyAlignment="1">
      <alignment horizontal="right" vertical="center"/>
    </xf>
    <xf numFmtId="10" fontId="0" fillId="0" borderId="49" xfId="72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22" borderId="49" xfId="0" applyFill="1" applyBorder="1" applyAlignment="1">
      <alignment horizontal="center"/>
    </xf>
    <xf numFmtId="0" fontId="0" fillId="0" borderId="22" xfId="0" applyBorder="1" applyAlignment="1">
      <alignment horizontal="right" vertical="center"/>
    </xf>
    <xf numFmtId="3" fontId="0" fillId="0" borderId="49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30" fillId="0" borderId="22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53" xfId="0" applyFont="1" applyBorder="1" applyAlignment="1">
      <alignment horizontal="left" vertical="center" wrapText="1"/>
    </xf>
    <xf numFmtId="10" fontId="0" fillId="0" borderId="22" xfId="72" applyNumberFormat="1" applyFont="1" applyBorder="1" applyAlignment="1">
      <alignment horizontal="right"/>
    </xf>
    <xf numFmtId="10" fontId="0" fillId="0" borderId="11" xfId="72" applyNumberFormat="1" applyFont="1" applyBorder="1" applyAlignment="1">
      <alignment horizontal="right"/>
    </xf>
    <xf numFmtId="10" fontId="0" fillId="0" borderId="13" xfId="72" applyNumberFormat="1" applyFont="1" applyBorder="1" applyAlignment="1">
      <alignment horizontal="right"/>
    </xf>
    <xf numFmtId="3" fontId="0" fillId="0" borderId="22" xfId="72" applyNumberFormat="1" applyFont="1" applyBorder="1" applyAlignment="1">
      <alignment horizontal="right" vertical="center"/>
    </xf>
    <xf numFmtId="3" fontId="0" fillId="0" borderId="11" xfId="72" applyNumberFormat="1" applyFont="1" applyBorder="1" applyAlignment="1">
      <alignment horizontal="right" vertical="center"/>
    </xf>
    <xf numFmtId="3" fontId="0" fillId="0" borderId="13" xfId="72" applyNumberFormat="1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/>
    </xf>
    <xf numFmtId="3" fontId="0" fillId="0" borderId="79" xfId="0" applyNumberFormat="1" applyBorder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" fillId="0" borderId="79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3" fontId="0" fillId="0" borderId="42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9" fontId="0" fillId="0" borderId="25" xfId="72" applyFont="1" applyBorder="1" applyAlignment="1">
      <alignment horizontal="center" vertical="center"/>
    </xf>
    <xf numFmtId="9" fontId="0" fillId="0" borderId="15" xfId="72" applyFont="1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9" fontId="0" fillId="0" borderId="25" xfId="72" applyFont="1" applyBorder="1" applyAlignment="1">
      <alignment/>
    </xf>
    <xf numFmtId="9" fontId="0" fillId="0" borderId="15" xfId="72" applyFont="1" applyBorder="1" applyAlignment="1">
      <alignment/>
    </xf>
    <xf numFmtId="3" fontId="56" fillId="0" borderId="25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9" fontId="0" fillId="0" borderId="79" xfId="72" applyFont="1" applyBorder="1" applyAlignment="1">
      <alignment vertical="center"/>
    </xf>
    <xf numFmtId="9" fontId="0" fillId="0" borderId="85" xfId="72" applyFont="1" applyBorder="1" applyAlignment="1">
      <alignment vertical="center"/>
    </xf>
    <xf numFmtId="0" fontId="4" fillId="0" borderId="79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85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0" fillId="0" borderId="79" xfId="0" applyBorder="1" applyAlignment="1" quotePrefix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85" xfId="0" applyBorder="1" applyAlignment="1">
      <alignment vertical="center" wrapText="1"/>
    </xf>
    <xf numFmtId="3" fontId="56" fillId="0" borderId="79" xfId="0" applyNumberFormat="1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8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5" xfId="0" applyBorder="1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7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7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9" fontId="56" fillId="24" borderId="25" xfId="72" applyFont="1" applyFill="1" applyBorder="1" applyAlignment="1">
      <alignment horizontal="center" vertical="center"/>
    </xf>
    <xf numFmtId="9" fontId="56" fillId="24" borderId="15" xfId="72" applyFont="1" applyFill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0" fillId="0" borderId="38" xfId="0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4" fillId="0" borderId="79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3" fontId="4" fillId="0" borderId="85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25" xfId="0" applyFont="1" applyBorder="1" applyAlignment="1" quotePrefix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79" xfId="0" applyFont="1" applyBorder="1" applyAlignment="1" quotePrefix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85" xfId="0" applyFont="1" applyBorder="1" applyAlignment="1">
      <alignment horizontal="right" vertical="center"/>
    </xf>
    <xf numFmtId="0" fontId="4" fillId="0" borderId="25" xfId="0" applyFont="1" applyBorder="1" applyAlignment="1" quotePrefix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5" fillId="0" borderId="25" xfId="0" applyNumberFormat="1" applyFont="1" applyBorder="1" applyAlignment="1" quotePrefix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9" fontId="4" fillId="0" borderId="25" xfId="72" applyFont="1" applyBorder="1" applyAlignment="1">
      <alignment horizontal="right" vertical="center"/>
    </xf>
    <xf numFmtId="9" fontId="4" fillId="0" borderId="15" xfId="72" applyFont="1" applyBorder="1" applyAlignment="1">
      <alignment horizontal="right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3" fontId="5" fillId="0" borderId="25" xfId="0" applyNumberFormat="1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9" fontId="5" fillId="0" borderId="25" xfId="72" applyFont="1" applyBorder="1" applyAlignment="1">
      <alignment horizontal="right" vertical="center"/>
    </xf>
    <xf numFmtId="9" fontId="5" fillId="0" borderId="15" xfId="72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25" xfId="0" applyBorder="1" applyAlignment="1">
      <alignment horizontal="right" vertical="center" wrapText="1"/>
    </xf>
    <xf numFmtId="0" fontId="4" fillId="0" borderId="79" xfId="0" applyFont="1" applyBorder="1" applyAlignment="1">
      <alignment horizontal="right" vertical="center" wrapText="1"/>
    </xf>
    <xf numFmtId="0" fontId="0" fillId="0" borderId="42" xfId="0" applyBorder="1" applyAlignment="1">
      <alignment horizontal="right" vertical="center" wrapText="1"/>
    </xf>
    <xf numFmtId="0" fontId="0" fillId="0" borderId="85" xfId="0" applyBorder="1" applyAlignment="1">
      <alignment horizontal="right" vertical="center" wrapText="1"/>
    </xf>
    <xf numFmtId="9" fontId="0" fillId="0" borderId="15" xfId="72" applyFont="1" applyBorder="1" applyAlignment="1">
      <alignment horizontal="right" vertical="center"/>
    </xf>
    <xf numFmtId="3" fontId="8" fillId="0" borderId="79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85" xfId="0" applyNumberFormat="1" applyFont="1" applyBorder="1" applyAlignment="1">
      <alignment horizontal="right" vertical="center"/>
    </xf>
    <xf numFmtId="0" fontId="8" fillId="0" borderId="25" xfId="0" applyFont="1" applyBorder="1" applyAlignment="1" quotePrefix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9" fontId="7" fillId="0" borderId="25" xfId="72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79" xfId="0" applyFont="1" applyBorder="1" applyAlignment="1" quotePrefix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85" xfId="0" applyFont="1" applyBorder="1" applyAlignment="1">
      <alignment vertical="center" wrapText="1"/>
    </xf>
    <xf numFmtId="0" fontId="0" fillId="0" borderId="4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9" fontId="0" fillId="0" borderId="40" xfId="72" applyFont="1" applyBorder="1" applyAlignment="1">
      <alignment horizontal="center" vertical="center"/>
    </xf>
    <xf numFmtId="9" fontId="0" fillId="0" borderId="12" xfId="72" applyFont="1" applyBorder="1" applyAlignment="1">
      <alignment horizontal="center" vertical="center"/>
    </xf>
    <xf numFmtId="3" fontId="0" fillId="0" borderId="77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0" fillId="0" borderId="35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5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35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9" fontId="0" fillId="0" borderId="35" xfId="72" applyFont="1" applyBorder="1" applyAlignment="1">
      <alignment horizontal="center" vertical="center"/>
    </xf>
    <xf numFmtId="9" fontId="0" fillId="0" borderId="21" xfId="72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9" fontId="0" fillId="0" borderId="77" xfId="72" applyFont="1" applyBorder="1" applyAlignment="1">
      <alignment horizontal="center" vertical="center"/>
    </xf>
    <xf numFmtId="9" fontId="0" fillId="0" borderId="84" xfId="72" applyFont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85" xfId="0" applyFont="1" applyBorder="1" applyAlignment="1">
      <alignment/>
    </xf>
    <xf numFmtId="0" fontId="0" fillId="0" borderId="7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4" fillId="0" borderId="5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83" xfId="0" applyFont="1" applyBorder="1" applyAlignment="1">
      <alignment vertical="center"/>
    </xf>
    <xf numFmtId="0" fontId="0" fillId="0" borderId="68" xfId="0" applyBorder="1" applyAlignment="1">
      <alignment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7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7" fillId="0" borderId="52" xfId="0" applyFont="1" applyBorder="1" applyAlignment="1">
      <alignment vertical="center" wrapText="1"/>
    </xf>
    <xf numFmtId="0" fontId="57" fillId="0" borderId="67" xfId="0" applyFont="1" applyBorder="1" applyAlignment="1">
      <alignment vertical="center" wrapText="1"/>
    </xf>
    <xf numFmtId="0" fontId="57" fillId="0" borderId="81" xfId="0" applyFont="1" applyBorder="1" applyAlignment="1">
      <alignment vertical="center" wrapText="1"/>
    </xf>
    <xf numFmtId="0" fontId="30" fillId="0" borderId="40" xfId="0" applyFont="1" applyBorder="1" applyAlignment="1">
      <alignment horizontal="left" vertical="center" wrapText="1" indent="1"/>
    </xf>
    <xf numFmtId="0" fontId="30" fillId="0" borderId="11" xfId="0" applyFont="1" applyBorder="1" applyAlignment="1">
      <alignment horizontal="left" vertical="center" wrapText="1" indent="1"/>
    </xf>
    <xf numFmtId="0" fontId="30" fillId="0" borderId="12" xfId="0" applyFont="1" applyBorder="1" applyAlignment="1">
      <alignment horizontal="left" vertical="center" wrapText="1" indent="1"/>
    </xf>
    <xf numFmtId="0" fontId="57" fillId="0" borderId="55" xfId="0" applyFont="1" applyBorder="1" applyAlignment="1">
      <alignment vertical="center" wrapText="1"/>
    </xf>
    <xf numFmtId="0" fontId="57" fillId="0" borderId="49" xfId="0" applyFont="1" applyBorder="1" applyAlignment="1">
      <alignment vertical="center" wrapText="1"/>
    </xf>
    <xf numFmtId="0" fontId="57" fillId="0" borderId="58" xfId="0" applyFont="1" applyBorder="1" applyAlignment="1">
      <alignment vertical="center" wrapText="1"/>
    </xf>
    <xf numFmtId="0" fontId="30" fillId="0" borderId="4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4" fillId="0" borderId="0" xfId="63" applyFont="1" applyAlignment="1">
      <alignment horizontal="center" vertical="center"/>
      <protection/>
    </xf>
    <xf numFmtId="0" fontId="15" fillId="22" borderId="77" xfId="63" applyFont="1" applyFill="1" applyBorder="1" applyAlignment="1">
      <alignment horizontal="center" vertical="center"/>
      <protection/>
    </xf>
    <xf numFmtId="0" fontId="15" fillId="22" borderId="20" xfId="63" applyFont="1" applyFill="1" applyBorder="1" applyAlignment="1">
      <alignment horizontal="center" vertical="center"/>
      <protection/>
    </xf>
    <xf numFmtId="0" fontId="15" fillId="22" borderId="78" xfId="63" applyFont="1" applyFill="1" applyBorder="1" applyAlignment="1">
      <alignment horizontal="center" vertical="center"/>
      <protection/>
    </xf>
    <xf numFmtId="0" fontId="5" fillId="0" borderId="85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48" xfId="63" applyFont="1" applyBorder="1" applyAlignment="1">
      <alignment horizontal="center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" xfId="43"/>
    <cellStyle name="Figyelmeztetés" xfId="44"/>
    <cellStyle name="Hyperlink" xfId="45"/>
    <cellStyle name="Hivatkozás 2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 2" xfId="59"/>
    <cellStyle name="Normál 2 2" xfId="60"/>
    <cellStyle name="Normál 4" xfId="61"/>
    <cellStyle name="Normál 6" xfId="62"/>
    <cellStyle name="Normál_Beszámoló 2004 kettős EGYÉB" xfId="63"/>
    <cellStyle name="Normál_Egyszerűsített üres 2003-as forrás" xfId="64"/>
    <cellStyle name="Normál_munkaprogram_05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book2\robi_c\Robi\TABLAZAT\BESZ&#193;MOL&#211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ablonok.2001\Excel\input\KD-1\MINT&#193;K%20SZ&#193;MV\XEgy&#233;b%20mint&#225;k\M&#233;rleg2007minta071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JSERVER\save\Documents%20and%20Settings\attila\Local%20Settings\Temporary%20Internet%20Files\Content.Outlook\K5PEXO53\Merleg_2009_kimaradt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2\FONESZ_2012\Besz&#225;mol&#243;\MATSZ_Besz&#225;mol&#243;_lelt&#225;r_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jserver\save\Anita\anita\2009\LUXUSBAU%20Kft\Luxusbau%20Ad&#243;t&#225;bl&#225;k2009Negyed&#233;v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1\FONESZ_2011\Besz&#225;mol&#243;\Fonesz%20K&#246;zhaszn&#250;%20jelent&#233;s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IG"/>
      <sheetName val="ÉVEK2000TŐL"/>
      <sheetName val="MérlegFedőlap"/>
      <sheetName val="MérlegEredmk."/>
      <sheetName val="MérlegMérleg"/>
      <sheetName val="KiegmFedőlap"/>
      <sheetName val="KiegmSzöveg"/>
      <sheetName val="Kiegm1tábla"/>
      <sheetName val="KiegmMutatók1"/>
      <sheetName val="KiegmelMutatók2"/>
      <sheetName val="KiegmMsorok"/>
      <sheetName val="KiegmDeviza"/>
      <sheetName val="Taggyűlési jegyzőkönyv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tmutató"/>
      <sheetName val="BORÍTÓZDOK"/>
      <sheetName val="BORÍTÓBESZ"/>
      <sheetName val="LELTÁR T.J."/>
      <sheetName val="Éves  Eredmény &quot;ÖK&quot;"/>
      <sheetName val="Éves  Eredmény &quot;FK&quot;"/>
      <sheetName val="Éves Eszközök"/>
      <sheetName val="Éves Források"/>
      <sheetName val="1. DEVÉRT"/>
      <sheetName val="2. &quot;0&quot;-s"/>
      <sheetName val="3. A.I. IMMJAV"/>
      <sheetName val="4. L.A.I. 1-5., 7."/>
      <sheetName val="5. L. A.I. 6."/>
      <sheetName val="6. A.II.TESZK"/>
      <sheetName val="7. L.A.II. 1-5.,7."/>
      <sheetName val="8. L.A.II.6."/>
      <sheetName val="9. A.III.BPESZK"/>
      <sheetName val="10. L.A.III.1.,3.,6.,7."/>
      <sheetName val="11. L.A.III.2.,4.,5."/>
      <sheetName val="12. B.I.KÉSZ"/>
      <sheetName val="13. L.B.I.1,5  KÉSZL. ÉRT."/>
      <sheetName val="14. L.B.I.2,3,4 STK. ÉRT. "/>
      <sheetName val="15. L.B.I.1-5  -1"/>
      <sheetName val="16. L.B.I.1-5  -2"/>
      <sheetName val="17. L.B.I. 6."/>
      <sheetName val="18. B.II.KÖV"/>
      <sheetName val="19. L.B.II.1-4. "/>
      <sheetName val="20. L.B.II.5."/>
      <sheetName val="21. L.B.II. 5. 1-3."/>
      <sheetName val="22. L.B.II.5. 4-5. ÁTS"/>
      <sheetName val="23. B.II. 1-5.  KÖV.E.  "/>
      <sheetName val="24. B.III.ÉP"/>
      <sheetName val="25. L.B.III. 1-4."/>
      <sheetName val="26. B.IV.PESZK"/>
      <sheetName val="27. L.B.IV. 1P."/>
      <sheetName val="28. L.B.IV.1CS"/>
      <sheetName val="29. L.B.IV-2.BANK"/>
      <sheetName val="30. C. AIEH"/>
      <sheetName val="31. L.C.1. "/>
      <sheetName val="32. D. I-VII.ST"/>
      <sheetName val="33. E. 1-3.CT"/>
      <sheetName val="34. F. I. HSK"/>
      <sheetName val="35. F.II. HLK"/>
      <sheetName val="36. L.F. II. 1., 4-8."/>
      <sheetName val="37. L.F. II. 2-3."/>
      <sheetName val="38. F.III. RLK"/>
      <sheetName val="39. L.F.III. 1-2.6-7."/>
      <sheetName val="40. L.F.III. 3."/>
      <sheetName val="41. L.F.III. 4."/>
      <sheetName val="42. L.F.III.5."/>
      <sheetName val="43. L.F.III. 8.1."/>
      <sheetName val="44. L.F.III. 8.2,3,4,5"/>
      <sheetName val="45. L.F.III. 8.6,7 ÁTS"/>
      <sheetName val="46. F.III. 1-8.  KÖT.E."/>
      <sheetName val="47. G. PIEH"/>
      <sheetName val="MINTA"/>
      <sheetName val="E. Eszközök"/>
      <sheetName val="E.Források"/>
      <sheetName val="E. Eredmény &quot;ÖK&quot;"/>
      <sheetName val="E.Eredmény &quot;FK&quot;"/>
      <sheetName val="54 §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ed_koc"/>
      <sheetName val="Ügyféltől anyagok"/>
      <sheetName val="Kiküld teszt"/>
      <sheetName val="Napló"/>
      <sheetName val="Cash-Flow_régi"/>
      <sheetName val="Lényeg"/>
      <sheetName val="II.C3"/>
      <sheetName val="Kikuld"/>
      <sheetName val="II.B"/>
      <sheetName val="II.B1_A"/>
      <sheetName val="II.B2_A"/>
      <sheetName val="II.B2_B3"/>
      <sheetName val="II.B3_A"/>
      <sheetName val="II.B6"/>
      <sheetName val="II.B7"/>
      <sheetName val="II.F1"/>
      <sheetName val="II.F2"/>
      <sheetName val="Állandó"/>
      <sheetName val="Tartalomj."/>
      <sheetName val="Dokumentumok"/>
      <sheetName val="Tervezés"/>
      <sheetName val="Min_ell szab."/>
      <sheetName val="II.B2_A_régi"/>
      <sheetName val="Munka1"/>
      <sheetName val="Munka2"/>
      <sheetName val="Munk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Az ügyfél adatai"/>
      <sheetName val="Complex Céginfó"/>
      <sheetName val="ÉVEK2000TŐL"/>
      <sheetName val="Főkönyv"/>
      <sheetName val="Eredmk1(3)"/>
      <sheetName val="Mérleg(3)"/>
      <sheetName val="Eredmk(3)"/>
      <sheetName val="Leltár fedőlap"/>
      <sheetName val="LELT. ÜTEM."/>
      <sheetName val="2. &quot;0&quot;-s"/>
      <sheetName val="A. I-II"/>
      <sheetName val="Immat.javak"/>
      <sheetName val="Tárgyi eszközök"/>
      <sheetName val="AI21"/>
      <sheetName val="A. III."/>
      <sheetName val="AIII23"/>
      <sheetName val="B.I."/>
      <sheetName val="BI23"/>
      <sheetName val="BI25"/>
      <sheetName val="B.II."/>
      <sheetName val="Mérleg fordulónapi veők"/>
      <sheetName val="BII20"/>
      <sheetName val="BII21"/>
      <sheetName val="BII22"/>
      <sheetName val="BII23"/>
      <sheetName val="BII24"/>
      <sheetName val="BII25"/>
      <sheetName val="BII26"/>
      <sheetName val="B.III."/>
      <sheetName val="BIII22"/>
      <sheetName val="BIII23"/>
      <sheetName val="B.IV."/>
      <sheetName val="BIV21"/>
      <sheetName val="Pénztár"/>
      <sheetName val="BIV22"/>
      <sheetName val="C_Ö"/>
      <sheetName val="C20"/>
      <sheetName val="Bankbetét"/>
      <sheetName val="DI_Ö"/>
      <sheetName val="D21"/>
      <sheetName val="D22"/>
      <sheetName val="D23"/>
      <sheetName val="D24"/>
      <sheetName val="D25"/>
      <sheetName val="D26"/>
      <sheetName val="D27"/>
      <sheetName val="EI_Ö"/>
      <sheetName val="E20"/>
      <sheetName val="FI_Ö"/>
      <sheetName val="FI20"/>
      <sheetName val="FII_Ö"/>
      <sheetName val="FII21"/>
      <sheetName val="Közhasznúsági jelentés"/>
      <sheetName val="FIII_Ö"/>
      <sheetName val="Mérleg fordulónapi szállítók"/>
      <sheetName val="FIII20"/>
      <sheetName val="FIII21"/>
      <sheetName val="FIII22"/>
      <sheetName val="NAV Adófolyószámla"/>
      <sheetName val="FIII24"/>
      <sheetName val="FIII25"/>
      <sheetName val="FIII26"/>
      <sheetName val="FIII28"/>
      <sheetName val="FIII30"/>
      <sheetName val="GI_Ö"/>
      <sheetName val="G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atlap"/>
      <sheetName val="Telefon"/>
      <sheetName val="Bérfeladás"/>
      <sheetName val="Bérfeladás2"/>
      <sheetName val="Utalások"/>
      <sheetName val="Adótáblák"/>
      <sheetName val="Adótáblák2"/>
      <sheetName val="ÁFA"/>
      <sheetName val="Összesített adótáblák"/>
      <sheetName val="Feltöltés (2)"/>
      <sheetName val="Feltöltés (3)"/>
      <sheetName val="Feltöltés (4)"/>
      <sheetName val="Feltöltés"/>
      <sheetName val="Feltöltéstény"/>
      <sheetName val="T.Adómegáll."/>
      <sheetName val="Különadó megáll"/>
      <sheetName val="IP.Adómegáll"/>
      <sheetName val="Adófolyó"/>
    </sheetNames>
    <sheetDataSet>
      <sheetData sheetId="5">
        <row r="128">
          <cell r="A128">
            <v>1</v>
          </cell>
          <cell r="B128">
            <v>14800</v>
          </cell>
          <cell r="C128">
            <v>14800</v>
          </cell>
        </row>
        <row r="129">
          <cell r="A129">
            <v>2</v>
          </cell>
          <cell r="B129">
            <v>14800</v>
          </cell>
          <cell r="C129">
            <v>14800</v>
          </cell>
        </row>
        <row r="130">
          <cell r="A130">
            <v>3</v>
          </cell>
          <cell r="B130">
            <v>14800</v>
          </cell>
          <cell r="C130">
            <v>14800</v>
          </cell>
        </row>
        <row r="131">
          <cell r="A131">
            <v>4</v>
          </cell>
          <cell r="B131">
            <v>14800</v>
          </cell>
          <cell r="C131">
            <v>14800</v>
          </cell>
          <cell r="D131">
            <v>2400</v>
          </cell>
          <cell r="E131">
            <v>2400</v>
          </cell>
        </row>
        <row r="132">
          <cell r="A132">
            <v>5</v>
          </cell>
          <cell r="D132">
            <v>13200</v>
          </cell>
          <cell r="E132">
            <v>13200</v>
          </cell>
        </row>
        <row r="133">
          <cell r="A133">
            <v>6</v>
          </cell>
          <cell r="D133">
            <v>13200</v>
          </cell>
          <cell r="E133">
            <v>13200</v>
          </cell>
        </row>
        <row r="134">
          <cell r="A134">
            <v>7</v>
          </cell>
          <cell r="D134">
            <v>12970</v>
          </cell>
          <cell r="E134">
            <v>12970</v>
          </cell>
        </row>
        <row r="135">
          <cell r="A135">
            <v>8</v>
          </cell>
          <cell r="D135">
            <v>12697</v>
          </cell>
          <cell r="E135">
            <v>12697</v>
          </cell>
        </row>
        <row r="136">
          <cell r="A136">
            <v>9</v>
          </cell>
          <cell r="D136">
            <v>13200</v>
          </cell>
          <cell r="E136">
            <v>13200</v>
          </cell>
        </row>
        <row r="137">
          <cell r="A137">
            <v>10</v>
          </cell>
          <cell r="B137">
            <v>2582</v>
          </cell>
          <cell r="C137">
            <v>2582</v>
          </cell>
          <cell r="D137">
            <v>13200</v>
          </cell>
          <cell r="E137">
            <v>13200</v>
          </cell>
        </row>
        <row r="138">
          <cell r="A138">
            <v>11</v>
          </cell>
          <cell r="B138">
            <v>11360</v>
          </cell>
          <cell r="C138">
            <v>11360</v>
          </cell>
          <cell r="L138">
            <v>7032</v>
          </cell>
          <cell r="M138">
            <v>7032</v>
          </cell>
        </row>
        <row r="139">
          <cell r="A139">
            <v>12</v>
          </cell>
          <cell r="B139">
            <v>11360</v>
          </cell>
          <cell r="L139">
            <v>11360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ÉVEK2000TŐL"/>
      <sheetName val="Főkönyv"/>
      <sheetName val="Fedőlap"/>
      <sheetName val="Mérlegoldalak"/>
      <sheetName val="Eredménykimutatás"/>
      <sheetName val="Tájékoztató adatok"/>
      <sheetName val="Költségvetési tám. felhaszn."/>
      <sheetName val="Vagyon felhasználása"/>
      <sheetName val="Cél szerinti juttatások"/>
      <sheetName val="Egyéb támogatások"/>
      <sheetName val="Tisztségviselők juttatásai"/>
      <sheetName val="Tevékenység bemutatása"/>
      <sheetName val="Ellenőrzés"/>
    </sheetNames>
    <sheetDataSet>
      <sheetData sheetId="1">
        <row r="4">
          <cell r="G4">
            <v>0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283" bestFit="1" customWidth="1"/>
    <col min="2" max="2" width="1.25" style="283" customWidth="1"/>
    <col min="3" max="3" width="26.25390625" style="283" customWidth="1"/>
    <col min="4" max="20" width="3.875" style="283" customWidth="1"/>
    <col min="21" max="16384" width="9.125" style="283" customWidth="1"/>
  </cols>
  <sheetData>
    <row r="1" spans="1:20" ht="15.75">
      <c r="A1" s="282"/>
      <c r="B1" s="434" t="s">
        <v>198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</row>
    <row r="2" spans="1:20" ht="13.5" thickBot="1">
      <c r="A2" s="282"/>
      <c r="B2" s="284" t="s">
        <v>213</v>
      </c>
      <c r="C2" s="284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12.75">
      <c r="A3" s="284" t="s">
        <v>199</v>
      </c>
      <c r="B3" s="284"/>
      <c r="C3" s="284" t="s">
        <v>200</v>
      </c>
      <c r="D3" s="435" t="s">
        <v>361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7"/>
    </row>
    <row r="4" spans="1:20" ht="13.5" thickBot="1">
      <c r="A4" s="284" t="s">
        <v>201</v>
      </c>
      <c r="B4" s="284"/>
      <c r="C4" s="284" t="s">
        <v>203</v>
      </c>
      <c r="D4" s="438" t="s">
        <v>356</v>
      </c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40"/>
    </row>
    <row r="5" spans="1:20" ht="13.5" thickBot="1">
      <c r="A5" s="284" t="s">
        <v>202</v>
      </c>
      <c r="B5" s="284"/>
      <c r="C5" s="284" t="s">
        <v>207</v>
      </c>
      <c r="D5" s="285" t="str">
        <f>MID(D6,1,1)</f>
        <v>1</v>
      </c>
      <c r="E5" s="286" t="str">
        <f>MID(D6,2,1)</f>
        <v>9</v>
      </c>
      <c r="F5" s="286" t="str">
        <f>MID(D6,3,1)</f>
        <v>6</v>
      </c>
      <c r="G5" s="286" t="str">
        <f>MID(D6,4,1)</f>
        <v>2</v>
      </c>
      <c r="H5" s="286" t="str">
        <f>MID(D6,5,1)</f>
        <v>2</v>
      </c>
      <c r="I5" s="286" t="str">
        <f>MID(D6,6,1)</f>
        <v>6</v>
      </c>
      <c r="J5" s="286" t="str">
        <f>MID(D6,7,1)</f>
        <v>8</v>
      </c>
      <c r="K5" s="286" t="str">
        <f>MID(D6,8,1)</f>
        <v>4</v>
      </c>
      <c r="L5" s="286" t="str">
        <f>MID(D6,10,1)</f>
        <v>9</v>
      </c>
      <c r="M5" s="286">
        <v>4</v>
      </c>
      <c r="N5" s="286">
        <v>9</v>
      </c>
      <c r="O5" s="286" t="str">
        <f>MID(D6,13,1)</f>
        <v>9</v>
      </c>
      <c r="P5" s="286" t="str">
        <f>MID(D6,15,1)</f>
        <v>5</v>
      </c>
      <c r="Q5" s="286" t="str">
        <f>MID(D6,16,1)</f>
        <v>2</v>
      </c>
      <c r="R5" s="286">
        <v>2</v>
      </c>
      <c r="S5" s="286" t="str">
        <f>MID(D6,19,1)</f>
        <v>0</v>
      </c>
      <c r="T5" s="287" t="str">
        <f>MID(D6,20,1)</f>
        <v>1</v>
      </c>
    </row>
    <row r="6" spans="1:20" ht="12.75">
      <c r="A6" s="284" t="s">
        <v>204</v>
      </c>
      <c r="B6" s="284"/>
      <c r="C6" s="284" t="s">
        <v>207</v>
      </c>
      <c r="D6" s="444" t="s">
        <v>362</v>
      </c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6"/>
    </row>
    <row r="7" spans="1:20" ht="12.75">
      <c r="A7" s="284" t="s">
        <v>205</v>
      </c>
      <c r="B7" s="284"/>
      <c r="C7" s="284" t="s">
        <v>214</v>
      </c>
      <c r="D7" s="438" t="s">
        <v>363</v>
      </c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40"/>
    </row>
    <row r="8" spans="1:20" ht="12.75">
      <c r="A8" s="284" t="s">
        <v>206</v>
      </c>
      <c r="B8" s="284"/>
      <c r="C8" s="284" t="s">
        <v>215</v>
      </c>
      <c r="D8" s="438" t="s">
        <v>216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40"/>
    </row>
    <row r="9" spans="1:20" ht="12.75">
      <c r="A9" s="284" t="s">
        <v>208</v>
      </c>
      <c r="B9" s="284"/>
      <c r="C9" s="284" t="s">
        <v>217</v>
      </c>
      <c r="D9" s="438" t="s">
        <v>218</v>
      </c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40"/>
    </row>
    <row r="10" spans="1:20" ht="12.75">
      <c r="A10" s="284" t="s">
        <v>209</v>
      </c>
      <c r="B10" s="284"/>
      <c r="C10" s="284" t="s">
        <v>211</v>
      </c>
      <c r="D10" s="438" t="s">
        <v>339</v>
      </c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40"/>
    </row>
    <row r="11" spans="1:20" ht="12.75">
      <c r="A11" s="284" t="s">
        <v>210</v>
      </c>
      <c r="B11" s="284"/>
      <c r="C11" s="284" t="s">
        <v>212</v>
      </c>
      <c r="D11" s="441" t="s">
        <v>522</v>
      </c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3"/>
    </row>
    <row r="12" spans="1:20" ht="12.75">
      <c r="A12" s="284" t="s">
        <v>32</v>
      </c>
      <c r="C12" s="284" t="s">
        <v>330</v>
      </c>
      <c r="D12" s="447">
        <v>1565</v>
      </c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9"/>
    </row>
    <row r="13" spans="1:20" ht="12.75">
      <c r="A13" s="284" t="s">
        <v>33</v>
      </c>
      <c r="C13" s="321" t="s">
        <v>297</v>
      </c>
      <c r="D13" s="447" t="s">
        <v>14</v>
      </c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9"/>
    </row>
    <row r="14" spans="1:20" ht="12.75">
      <c r="A14" s="284" t="s">
        <v>34</v>
      </c>
      <c r="C14" s="284" t="s">
        <v>94</v>
      </c>
      <c r="D14" s="431" t="s">
        <v>94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3"/>
    </row>
    <row r="15" spans="1:20" ht="13.5" thickBot="1">
      <c r="A15" s="284" t="s">
        <v>35</v>
      </c>
      <c r="C15" s="284" t="s">
        <v>358</v>
      </c>
      <c r="D15" s="414" t="s">
        <v>359</v>
      </c>
      <c r="E15" s="415"/>
      <c r="F15" s="76" t="s">
        <v>360</v>
      </c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6"/>
    </row>
  </sheetData>
  <sheetProtection/>
  <mergeCells count="12">
    <mergeCell ref="D12:T12"/>
    <mergeCell ref="D13:T13"/>
    <mergeCell ref="D14:T14"/>
    <mergeCell ref="B1:T1"/>
    <mergeCell ref="D3:T3"/>
    <mergeCell ref="D4:T4"/>
    <mergeCell ref="D9:T9"/>
    <mergeCell ref="D10:T10"/>
    <mergeCell ref="D11:T11"/>
    <mergeCell ref="D7:T7"/>
    <mergeCell ref="D8:T8"/>
    <mergeCell ref="D6:T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4.875" style="0" customWidth="1"/>
    <col min="4" max="5" width="4.25390625" style="0" customWidth="1"/>
    <col min="6" max="6" width="4.625" style="0" customWidth="1"/>
    <col min="7" max="7" width="4.25390625" style="0" customWidth="1"/>
    <col min="8" max="8" width="4.375" style="0" customWidth="1"/>
    <col min="9" max="9" width="4.75390625" style="0" customWidth="1"/>
    <col min="10" max="10" width="4.625" style="0" customWidth="1"/>
    <col min="11" max="11" width="4.75390625" style="0" customWidth="1"/>
    <col min="12" max="12" width="5.00390625" style="0" customWidth="1"/>
    <col min="13" max="13" width="4.75390625" style="0" customWidth="1"/>
    <col min="14" max="14" width="4.875" style="0" customWidth="1"/>
    <col min="15" max="15" width="5.00390625" style="0" customWidth="1"/>
    <col min="16" max="16" width="4.00390625" style="0" customWidth="1"/>
    <col min="17" max="17" width="4.125" style="0" customWidth="1"/>
    <col min="18" max="18" width="3.375" style="0" customWidth="1"/>
    <col min="19" max="19" width="4.00390625" style="0" customWidth="1"/>
    <col min="20" max="20" width="3.625" style="0" customWidth="1"/>
    <col min="21" max="21" width="2.625" style="0" customWidth="1"/>
    <col min="22" max="22" width="5.25390625" style="0" customWidth="1"/>
  </cols>
  <sheetData>
    <row r="1" spans="1:21" ht="18.75" thickBot="1">
      <c r="A1" s="17" t="str">
        <f>Fedőlap!$A$1</f>
        <v>1</v>
      </c>
      <c r="B1" s="117" t="str">
        <f>Fedőlap!$B$1</f>
        <v>9</v>
      </c>
      <c r="C1" s="19" t="str">
        <f>Fedőlap!$C$1</f>
        <v>6</v>
      </c>
      <c r="D1" s="19" t="str">
        <f>Fedőlap!$D$1</f>
        <v>2</v>
      </c>
      <c r="E1" s="19" t="str">
        <f>Fedőlap!$E$1</f>
        <v>2</v>
      </c>
      <c r="F1" s="19" t="str">
        <f>Fedőlap!$F$1</f>
        <v>6</v>
      </c>
      <c r="G1" s="19" t="str">
        <f>Fedőlap!$G$1</f>
        <v>8</v>
      </c>
      <c r="H1" s="18" t="str">
        <f>Fedőlap!$H$1</f>
        <v>4</v>
      </c>
      <c r="I1" s="17" t="str">
        <f>Fedőlap!$I$1</f>
        <v>9</v>
      </c>
      <c r="J1" s="19">
        <f>Fedőlap!$J$1</f>
        <v>4</v>
      </c>
      <c r="K1" s="19">
        <f>Fedőlap!K1</f>
        <v>9</v>
      </c>
      <c r="L1" s="117" t="str">
        <f>Fedőlap!L1</f>
        <v>9</v>
      </c>
      <c r="M1" s="17" t="str">
        <f>Fedőlap!M1</f>
        <v>5</v>
      </c>
      <c r="N1" s="19" t="str">
        <f>Fedőlap!N1</f>
        <v>2</v>
      </c>
      <c r="O1" s="18">
        <f>Fedőlap!O1</f>
        <v>2</v>
      </c>
      <c r="P1" s="17" t="str">
        <f>Fedőlap!P1</f>
        <v>0</v>
      </c>
      <c r="Q1" s="294" t="str">
        <f>Fedőlap!Q1</f>
        <v>1</v>
      </c>
      <c r="R1" s="277"/>
      <c r="S1" s="16"/>
      <c r="T1" s="1"/>
      <c r="U1" s="1"/>
    </row>
    <row r="2" spans="1:21" ht="12.75">
      <c r="A2" s="2" t="str">
        <f>Fedőlap!A2</f>
        <v>Statisztikai számjel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</row>
    <row r="3" spans="1:21" ht="12.75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>
      <c r="A4" s="21" t="str">
        <f>Fedőlap!$B$9</f>
        <v>Budapesti Tájfutók Szövetsége</v>
      </c>
      <c r="B4" s="7"/>
      <c r="C4" s="22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</row>
    <row r="5" spans="1:12" ht="12.75">
      <c r="A5" s="6" t="str">
        <f>Fedőlap!A30</f>
        <v>- Egyszerűsített éves beszámoló KIEGÉSZÍTŐ MELLÉKLETE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6" t="str">
        <f>Fedőlap!B33</f>
        <v>- KÖZHASZNÚ TEVÉKENYSÉGEK BEMUTATÁSA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ht="23.25" customHeight="1"/>
    <row r="8" spans="1:22" ht="12.75" customHeight="1">
      <c r="A8" s="596" t="s">
        <v>231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</row>
    <row r="9" spans="1:22" ht="27.75" customHeight="1">
      <c r="A9" s="597" t="s">
        <v>13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9"/>
    </row>
    <row r="10" spans="1:22" ht="21" customHeight="1">
      <c r="A10" s="596" t="s">
        <v>232</v>
      </c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</row>
    <row r="11" spans="1:24" ht="26.25" customHeight="1">
      <c r="A11" s="600" t="s">
        <v>337</v>
      </c>
      <c r="B11" s="600"/>
      <c r="C11" s="600"/>
      <c r="D11" s="600"/>
      <c r="E11" s="600"/>
      <c r="F11" s="600"/>
      <c r="G11" s="600"/>
      <c r="H11" s="600"/>
      <c r="I11" s="600"/>
      <c r="J11" s="593" t="s">
        <v>530</v>
      </c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5"/>
      <c r="X11" s="430"/>
    </row>
    <row r="12" spans="1:22" ht="26.25" customHeight="1">
      <c r="A12" s="596" t="s">
        <v>234</v>
      </c>
      <c r="B12" s="596"/>
      <c r="C12" s="596"/>
      <c r="D12" s="596"/>
      <c r="E12" s="596"/>
      <c r="F12" s="596"/>
      <c r="G12" s="596"/>
      <c r="H12" s="596"/>
      <c r="I12" s="596"/>
      <c r="J12" s="593" t="s">
        <v>528</v>
      </c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5"/>
    </row>
    <row r="13" spans="1:22" ht="36" customHeight="1">
      <c r="A13" s="596" t="s">
        <v>338</v>
      </c>
      <c r="B13" s="596"/>
      <c r="C13" s="596"/>
      <c r="D13" s="596"/>
      <c r="E13" s="596"/>
      <c r="F13" s="596"/>
      <c r="G13" s="596"/>
      <c r="H13" s="596"/>
      <c r="I13" s="596"/>
      <c r="J13" s="593" t="s">
        <v>529</v>
      </c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5"/>
    </row>
    <row r="14" spans="1:22" ht="36.75" customHeight="1">
      <c r="A14" s="596" t="s">
        <v>236</v>
      </c>
      <c r="B14" s="596"/>
      <c r="C14" s="596"/>
      <c r="D14" s="596"/>
      <c r="E14" s="596"/>
      <c r="F14" s="596"/>
      <c r="G14" s="596"/>
      <c r="H14" s="596"/>
      <c r="I14" s="596"/>
      <c r="J14" s="593" t="s">
        <v>531</v>
      </c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5"/>
    </row>
    <row r="16" ht="12.75">
      <c r="A16" s="321" t="s">
        <v>272</v>
      </c>
    </row>
    <row r="17" ht="12.75">
      <c r="V17" s="23" t="s">
        <v>275</v>
      </c>
    </row>
    <row r="18" spans="1:22" ht="12.75">
      <c r="A18" s="574" t="s">
        <v>276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80" t="s">
        <v>19</v>
      </c>
      <c r="Q18" s="571"/>
      <c r="R18" s="572"/>
      <c r="S18" s="574" t="s">
        <v>22</v>
      </c>
      <c r="T18" s="574"/>
      <c r="U18" s="574"/>
      <c r="V18" s="574"/>
    </row>
    <row r="19" spans="1:22" ht="12.75">
      <c r="A19" s="326" t="s">
        <v>274</v>
      </c>
      <c r="B19" s="569" t="s">
        <v>277</v>
      </c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70">
        <f>ÉVEK2011TŐL!D16+ÉVEK2011TŐL!D55</f>
        <v>8118</v>
      </c>
      <c r="Q19" s="571"/>
      <c r="R19" s="572"/>
      <c r="S19" s="573">
        <f>ÉVEK2011TŐL!E16+ÉVEK2011TŐL!E55</f>
        <v>3695</v>
      </c>
      <c r="T19" s="574"/>
      <c r="U19" s="574"/>
      <c r="V19" s="574"/>
    </row>
    <row r="20" spans="1:22" ht="12.75">
      <c r="A20" s="326"/>
      <c r="B20" s="569" t="s">
        <v>278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73">
        <f>(P19+S19)/2</f>
        <v>5906.5</v>
      </c>
      <c r="Q20" s="573"/>
      <c r="R20" s="573"/>
      <c r="S20" s="573"/>
      <c r="T20" s="573"/>
      <c r="U20" s="573"/>
      <c r="V20" s="573"/>
    </row>
    <row r="21" spans="1:22" ht="12.75">
      <c r="A21" s="326" t="s">
        <v>280</v>
      </c>
      <c r="B21" s="569" t="s">
        <v>279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73">
        <f>ÉVEK2011TŐL!D29+ÉVEK2011TŐL!D68+ÉVEK2011TŐL!E29+ÉVEK2011TŐL!E68</f>
        <v>-1962</v>
      </c>
      <c r="Q21" s="574"/>
      <c r="R21" s="574"/>
      <c r="S21" s="574"/>
      <c r="T21" s="574"/>
      <c r="U21" s="574"/>
      <c r="V21" s="574"/>
    </row>
    <row r="22" spans="1:22" ht="25.5" customHeight="1">
      <c r="A22" s="326" t="s">
        <v>281</v>
      </c>
      <c r="B22" s="568" t="s">
        <v>282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77">
        <f>ÉVEK2011TŐL!D19-ÉVEK2011TŐL!D20+ÉVEK2011TŐL!D58-ÉVEK2011TŐL!D59</f>
        <v>1795</v>
      </c>
      <c r="Q22" s="578"/>
      <c r="R22" s="579"/>
      <c r="S22" s="577">
        <f>ÉVEK2011TŐL!E19-ÉVEK2011TŐL!E20+ÉVEK2011TŐL!E58-ÉVEK2011TŐL!E59</f>
        <v>192</v>
      </c>
      <c r="T22" s="578"/>
      <c r="U22" s="578"/>
      <c r="V22" s="579"/>
    </row>
    <row r="23" spans="1:22" ht="12.75">
      <c r="A23" s="326"/>
      <c r="B23" s="569" t="s">
        <v>283</v>
      </c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73">
        <f>ÉVEK2011TŐL!D25+ÉVEK2011TŐL!D64</f>
        <v>8796</v>
      </c>
      <c r="Q23" s="574"/>
      <c r="R23" s="574"/>
      <c r="S23" s="573">
        <f>ÉVEK2011TŐL!E25+ÉVEK2011TŐL!E64</f>
        <v>4979</v>
      </c>
      <c r="T23" s="574"/>
      <c r="U23" s="574"/>
      <c r="V23" s="574"/>
    </row>
    <row r="24" spans="1:22" ht="12.75">
      <c r="A24" s="326"/>
      <c r="B24" s="569" t="s">
        <v>284</v>
      </c>
      <c r="C24" s="569"/>
      <c r="D24" s="569"/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7">
        <f>IF(P23=0,"",P22/P23)</f>
        <v>0.2040700318326512</v>
      </c>
      <c r="Q24" s="567"/>
      <c r="R24" s="567"/>
      <c r="S24" s="567">
        <f>IF(S23=0,"",S22/S23)</f>
        <v>0.03856196023297851</v>
      </c>
      <c r="T24" s="567"/>
      <c r="U24" s="567"/>
      <c r="V24" s="567"/>
    </row>
    <row r="26" ht="12.75">
      <c r="A26" s="321" t="s">
        <v>285</v>
      </c>
    </row>
    <row r="27" ht="12.75">
      <c r="V27" s="23" t="s">
        <v>275</v>
      </c>
    </row>
    <row r="28" spans="1:22" ht="12.75">
      <c r="A28" s="580" t="s">
        <v>276</v>
      </c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4" t="s">
        <v>19</v>
      </c>
      <c r="O28" s="574"/>
      <c r="P28" s="574"/>
      <c r="Q28" s="574" t="s">
        <v>22</v>
      </c>
      <c r="R28" s="574"/>
      <c r="S28" s="574"/>
      <c r="T28" s="574" t="s">
        <v>290</v>
      </c>
      <c r="U28" s="574"/>
      <c r="V28" s="574"/>
    </row>
    <row r="29" spans="1:22" ht="39" customHeight="1">
      <c r="A29" s="326" t="s">
        <v>274</v>
      </c>
      <c r="B29" s="581" t="s">
        <v>289</v>
      </c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90">
        <f>ÉVEK2011TŐL!D38+ÉVEK2011TŐL!D77</f>
        <v>187</v>
      </c>
      <c r="O29" s="587"/>
      <c r="P29" s="588"/>
      <c r="Q29" s="590">
        <f>ÉVEK2011TŐL!E38+ÉVEK2011TŐL!E77</f>
        <v>179</v>
      </c>
      <c r="R29" s="587"/>
      <c r="S29" s="588"/>
      <c r="T29" s="589"/>
      <c r="U29" s="589"/>
      <c r="V29" s="589"/>
    </row>
    <row r="30" spans="1:22" ht="12.75">
      <c r="A30" s="326"/>
      <c r="B30" s="575" t="s">
        <v>348</v>
      </c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91">
        <f>ÉVEK2011TŐL!D16+ÉVEK2011TŐL!D55-ÉVEK2011TŐL!D36-ÉVEK2011TŐL!D37-ÉVEK2011TŐL!D75-ÉVEK2011TŐL!D76</f>
        <v>8118</v>
      </c>
      <c r="O30" s="592"/>
      <c r="P30" s="592"/>
      <c r="Q30" s="591">
        <f>ÉVEK2011TŐL!E16+ÉVEK2011TŐL!E55-ÉVEK2011TŐL!E36-ÉVEK2011TŐL!E37-ÉVEK2011TŐL!E75-ÉVEK2011TŐL!E76</f>
        <v>3695</v>
      </c>
      <c r="R30" s="592"/>
      <c r="S30" s="592"/>
      <c r="T30" s="589"/>
      <c r="U30" s="589"/>
      <c r="V30" s="589"/>
    </row>
    <row r="31" spans="1:22" ht="12.75">
      <c r="A31" s="326"/>
      <c r="B31" s="581" t="s">
        <v>291</v>
      </c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3"/>
      <c r="N31" s="585">
        <f>IF(N30=0,"",N29/N30)</f>
        <v>0.023035230352303523</v>
      </c>
      <c r="O31" s="585"/>
      <c r="P31" s="585"/>
      <c r="Q31" s="585">
        <f>IF(Q30=0,"",Q29/Q30)</f>
        <v>0.04844384303112314</v>
      </c>
      <c r="R31" s="585"/>
      <c r="S31" s="585"/>
      <c r="T31" s="589"/>
      <c r="U31" s="589"/>
      <c r="V31" s="589"/>
    </row>
    <row r="32" spans="1:22" ht="25.5" customHeight="1">
      <c r="A32" s="326" t="s">
        <v>280</v>
      </c>
      <c r="B32" s="581" t="s">
        <v>292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3"/>
      <c r="N32" s="586">
        <f>ÉVEK2011TŐL!D26+ÉVEK2011TŐL!D65</f>
        <v>8796</v>
      </c>
      <c r="O32" s="587"/>
      <c r="P32" s="588"/>
      <c r="Q32" s="586">
        <f>ÉVEK2011TŐL!E26+ÉVEK2011TŐL!E65</f>
        <v>4979</v>
      </c>
      <c r="R32" s="587"/>
      <c r="S32" s="588"/>
      <c r="T32" s="604">
        <f>(N32+Q32)/2</f>
        <v>6887.5</v>
      </c>
      <c r="U32" s="605"/>
      <c r="V32" s="606"/>
    </row>
    <row r="33" spans="1:22" ht="12.75">
      <c r="A33" s="326"/>
      <c r="B33" s="575" t="s">
        <v>293</v>
      </c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91">
        <f>ÉVEK2011TŐL!D25+ÉVEK2011TŐL!D64</f>
        <v>8796</v>
      </c>
      <c r="O33" s="592"/>
      <c r="P33" s="592"/>
      <c r="Q33" s="591">
        <f>ÉVEK2011TŐL!E25+ÉVEK2011TŐL!E64</f>
        <v>4979</v>
      </c>
      <c r="R33" s="592"/>
      <c r="S33" s="592"/>
      <c r="T33" s="604">
        <f>(N33+Q33)/2</f>
        <v>6887.5</v>
      </c>
      <c r="U33" s="605"/>
      <c r="V33" s="606"/>
    </row>
    <row r="34" spans="1:22" ht="12.75">
      <c r="A34" s="326"/>
      <c r="B34" s="575" t="s">
        <v>291</v>
      </c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85">
        <f>IF(N33=0,"",N32/N33)</f>
        <v>1</v>
      </c>
      <c r="O34" s="585"/>
      <c r="P34" s="585"/>
      <c r="Q34" s="585">
        <f>IF(Q33=0,"",Q32/Q33)</f>
        <v>1</v>
      </c>
      <c r="R34" s="585"/>
      <c r="S34" s="585"/>
      <c r="T34" s="601">
        <f>IF(T33=0,"",T32/T33)</f>
        <v>1</v>
      </c>
      <c r="U34" s="602"/>
      <c r="V34" s="603"/>
    </row>
    <row r="35" spans="1:22" ht="53.25" customHeight="1">
      <c r="A35" s="326" t="s">
        <v>281</v>
      </c>
      <c r="B35" s="581" t="s">
        <v>294</v>
      </c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3"/>
      <c r="N35" s="584">
        <v>14</v>
      </c>
      <c r="O35" s="584"/>
      <c r="P35" s="584"/>
      <c r="Q35" s="584">
        <v>15</v>
      </c>
      <c r="R35" s="584"/>
      <c r="S35" s="584"/>
      <c r="T35" s="584">
        <v>14.5</v>
      </c>
      <c r="U35" s="584"/>
      <c r="V35" s="584"/>
    </row>
    <row r="36" spans="1:22" ht="12.75">
      <c r="A36" s="28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324"/>
      <c r="Q36" s="324"/>
      <c r="R36" s="324"/>
      <c r="S36" s="325"/>
      <c r="T36" s="325"/>
      <c r="U36" s="325"/>
      <c r="V36" s="325"/>
    </row>
    <row r="37" spans="1:22" ht="12.75">
      <c r="A37" s="28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324"/>
      <c r="Q37" s="324"/>
      <c r="R37" s="324"/>
      <c r="S37" s="325"/>
      <c r="T37" s="325"/>
      <c r="U37" s="325"/>
      <c r="V37" s="325"/>
    </row>
    <row r="38" spans="1:22" ht="12.75">
      <c r="A38" s="28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324"/>
      <c r="Q38" s="324"/>
      <c r="R38" s="324"/>
      <c r="S38" s="325"/>
      <c r="T38" s="325"/>
      <c r="U38" s="325"/>
      <c r="V38" s="325"/>
    </row>
    <row r="40" spans="1:19" ht="12.75">
      <c r="A40" s="101" t="s">
        <v>15</v>
      </c>
      <c r="B40" s="101"/>
      <c r="C40" s="106" t="str">
        <f>Fedőlap!C44</f>
        <v>Budapest, 2013. április 16.</v>
      </c>
      <c r="D40" s="106"/>
      <c r="E40" s="106"/>
      <c r="F40" s="106"/>
      <c r="G40" s="106"/>
      <c r="H40" s="107"/>
      <c r="I40" s="101"/>
      <c r="J40" s="101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9" t="str">
        <f>Fedőlap!L45</f>
        <v>a szervezet vezetője</v>
      </c>
      <c r="L41" s="109"/>
      <c r="M41" s="109"/>
      <c r="N41" s="109"/>
      <c r="O41" s="109"/>
      <c r="P41" s="109"/>
      <c r="Q41" s="109"/>
      <c r="R41" s="109"/>
      <c r="S41" s="109"/>
    </row>
    <row r="42" spans="1:19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9" t="str">
        <f>Fedőlap!L46</f>
        <v>(képviselője)</v>
      </c>
      <c r="L42" s="109"/>
      <c r="M42" s="109"/>
      <c r="N42" s="109"/>
      <c r="O42" s="109"/>
      <c r="P42" s="109"/>
      <c r="Q42" s="109"/>
      <c r="R42" s="109"/>
      <c r="S42" s="109"/>
    </row>
    <row r="43" spans="1:19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:19" ht="15">
      <c r="A44" s="1"/>
      <c r="B44" s="1"/>
      <c r="C44" s="1"/>
      <c r="D44" s="1"/>
      <c r="E44" s="1"/>
      <c r="F44" s="1"/>
      <c r="G44" s="1"/>
      <c r="H44" s="1"/>
      <c r="I44" s="64" t="s">
        <v>20</v>
      </c>
      <c r="J44" s="1"/>
      <c r="K44" s="1"/>
      <c r="L44" s="1"/>
      <c r="M44" s="1"/>
      <c r="N44" s="1"/>
      <c r="O44" s="1"/>
      <c r="P44" s="1"/>
      <c r="Q44" s="1"/>
      <c r="R44" s="1"/>
      <c r="S44" s="1"/>
    </row>
    <row r="46" ht="12.75">
      <c r="J46" t="str">
        <f>Fedőlap!K51</f>
        <v>„A közzétett adatok könyvvizsgálattal nincsenek alátámasztva”</v>
      </c>
    </row>
  </sheetData>
  <sheetProtection/>
  <mergeCells count="62">
    <mergeCell ref="T34:V34"/>
    <mergeCell ref="T32:V32"/>
    <mergeCell ref="N33:P33"/>
    <mergeCell ref="Q33:S33"/>
    <mergeCell ref="T33:V33"/>
    <mergeCell ref="A14:I14"/>
    <mergeCell ref="J14:V14"/>
    <mergeCell ref="A10:V10"/>
    <mergeCell ref="A8:V8"/>
    <mergeCell ref="A9:V9"/>
    <mergeCell ref="A11:I11"/>
    <mergeCell ref="J11:V11"/>
    <mergeCell ref="A12:I12"/>
    <mergeCell ref="J12:V12"/>
    <mergeCell ref="A13:I13"/>
    <mergeCell ref="J13:V13"/>
    <mergeCell ref="A18:O18"/>
    <mergeCell ref="B32:M32"/>
    <mergeCell ref="B33:M33"/>
    <mergeCell ref="N29:P29"/>
    <mergeCell ref="N31:P31"/>
    <mergeCell ref="N32:P32"/>
    <mergeCell ref="N30:P30"/>
    <mergeCell ref="B31:M31"/>
    <mergeCell ref="B29:M29"/>
    <mergeCell ref="T35:V35"/>
    <mergeCell ref="Q32:S32"/>
    <mergeCell ref="S18:V18"/>
    <mergeCell ref="P18:R18"/>
    <mergeCell ref="Q31:S31"/>
    <mergeCell ref="T31:V31"/>
    <mergeCell ref="Q29:S29"/>
    <mergeCell ref="T29:V29"/>
    <mergeCell ref="Q30:S30"/>
    <mergeCell ref="T30:V30"/>
    <mergeCell ref="B35:M35"/>
    <mergeCell ref="N35:P35"/>
    <mergeCell ref="Q35:S35"/>
    <mergeCell ref="B34:M34"/>
    <mergeCell ref="N34:P34"/>
    <mergeCell ref="Q34:S34"/>
    <mergeCell ref="T28:V28"/>
    <mergeCell ref="B21:O21"/>
    <mergeCell ref="B30:M30"/>
    <mergeCell ref="S23:V23"/>
    <mergeCell ref="P23:R23"/>
    <mergeCell ref="S22:V22"/>
    <mergeCell ref="P22:R22"/>
    <mergeCell ref="A28:M28"/>
    <mergeCell ref="N28:P28"/>
    <mergeCell ref="Q28:S28"/>
    <mergeCell ref="P19:R19"/>
    <mergeCell ref="B19:O19"/>
    <mergeCell ref="P20:V20"/>
    <mergeCell ref="P21:V21"/>
    <mergeCell ref="B20:O20"/>
    <mergeCell ref="S19:V19"/>
    <mergeCell ref="S24:V24"/>
    <mergeCell ref="P24:R24"/>
    <mergeCell ref="B22:O22"/>
    <mergeCell ref="B23:O23"/>
    <mergeCell ref="B24:O24"/>
  </mergeCells>
  <printOptions horizontalCentered="1"/>
  <pageMargins left="0.53" right="0.45" top="0.72" bottom="0.79" header="0.5118110236220472" footer="0.41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3" width="4.875" style="0" customWidth="1"/>
    <col min="4" max="4" width="4.75390625" style="0" customWidth="1"/>
    <col min="5" max="7" width="4.25390625" style="0" customWidth="1"/>
    <col min="8" max="8" width="4.875" style="0" customWidth="1"/>
    <col min="9" max="13" width="4.25390625" style="0" customWidth="1"/>
    <col min="14" max="14" width="4.875" style="0" customWidth="1"/>
    <col min="15" max="15" width="4.00390625" style="0" customWidth="1"/>
    <col min="16" max="16" width="4.25390625" style="0" customWidth="1"/>
    <col min="17" max="17" width="2.375" style="0" customWidth="1"/>
    <col min="18" max="18" width="2.75390625" style="0" customWidth="1"/>
    <col min="19" max="19" width="4.25390625" style="0" customWidth="1"/>
    <col min="20" max="20" width="2.375" style="0" customWidth="1"/>
    <col min="21" max="21" width="2.625" style="0" customWidth="1"/>
  </cols>
  <sheetData>
    <row r="1" spans="1:21" ht="18.75" thickBot="1">
      <c r="A1" s="17" t="str">
        <f>Fedőlap!$A$1</f>
        <v>1</v>
      </c>
      <c r="B1" s="117" t="str">
        <f>Fedőlap!$B$1</f>
        <v>9</v>
      </c>
      <c r="C1" s="19" t="str">
        <f>Fedőlap!$C$1</f>
        <v>6</v>
      </c>
      <c r="D1" s="19" t="str">
        <f>Fedőlap!$D$1</f>
        <v>2</v>
      </c>
      <c r="E1" s="19" t="str">
        <f>Fedőlap!$E$1</f>
        <v>2</v>
      </c>
      <c r="F1" s="19" t="str">
        <f>Fedőlap!$F$1</f>
        <v>6</v>
      </c>
      <c r="G1" s="19" t="str">
        <f>Fedőlap!$G$1</f>
        <v>8</v>
      </c>
      <c r="H1" s="18" t="str">
        <f>Fedőlap!$H$1</f>
        <v>4</v>
      </c>
      <c r="I1" s="17" t="str">
        <f>Fedőlap!$I$1</f>
        <v>9</v>
      </c>
      <c r="J1" s="19">
        <f>Fedőlap!$J$1</f>
        <v>4</v>
      </c>
      <c r="K1" s="19">
        <f>Fedőlap!K1</f>
        <v>9</v>
      </c>
      <c r="L1" s="117" t="str">
        <f>Fedőlap!L1</f>
        <v>9</v>
      </c>
      <c r="M1" s="17" t="str">
        <f>Fedőlap!M1</f>
        <v>5</v>
      </c>
      <c r="N1" s="19" t="str">
        <f>Fedőlap!N1</f>
        <v>2</v>
      </c>
      <c r="O1" s="18">
        <f>Fedőlap!O1</f>
        <v>2</v>
      </c>
      <c r="P1" s="118" t="str">
        <f>Fedőlap!P1</f>
        <v>0</v>
      </c>
      <c r="Q1" s="661" t="str">
        <f>Fedőlap!Q1</f>
        <v>1</v>
      </c>
      <c r="R1" s="662"/>
      <c r="S1" s="16"/>
      <c r="T1" s="1"/>
      <c r="U1" s="1"/>
    </row>
    <row r="2" spans="1:21" ht="12.75">
      <c r="A2" s="2" t="str">
        <f>Fedőlap!A2</f>
        <v>Statisztikai számjel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</row>
    <row r="3" spans="1:21" ht="12.75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>
      <c r="A4" s="21" t="str">
        <f>Fedőlap!$B$9</f>
        <v>Budapesti Tájfutók Szövetsége</v>
      </c>
      <c r="B4" s="7"/>
      <c r="C4" s="22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</row>
    <row r="5" spans="1:12" ht="12.75">
      <c r="A5" s="6" t="str">
        <f>Fedőlap!A30</f>
        <v>- Egyszerűsített éves beszámoló KIEGÉSZÍTŐ MELLÉKLETE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522" t="str">
        <f>Fedőlap!B34</f>
        <v>- KIMUTATÁS A VAGYON FELHASZNÁLÁSRÓL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</row>
    <row r="8" spans="18:21" ht="13.5" thickBot="1">
      <c r="R8" s="663" t="s">
        <v>92</v>
      </c>
      <c r="S8" s="663"/>
      <c r="T8" s="663"/>
      <c r="U8" s="663"/>
    </row>
    <row r="9" spans="1:21" ht="13.5" thickBot="1">
      <c r="A9" s="608" t="s">
        <v>77</v>
      </c>
      <c r="B9" s="608"/>
      <c r="C9" s="608"/>
      <c r="D9" s="608"/>
      <c r="E9" s="627" t="s">
        <v>78</v>
      </c>
      <c r="F9" s="628"/>
      <c r="G9" s="628"/>
      <c r="H9" s="629"/>
      <c r="I9" s="607" t="s">
        <v>79</v>
      </c>
      <c r="J9" s="607"/>
      <c r="K9" s="607"/>
      <c r="L9" s="607"/>
      <c r="M9" s="608" t="s">
        <v>80</v>
      </c>
      <c r="N9" s="608"/>
      <c r="O9" s="608"/>
      <c r="P9" s="608"/>
      <c r="Q9" s="608"/>
      <c r="R9" s="607" t="s">
        <v>81</v>
      </c>
      <c r="S9" s="607"/>
      <c r="T9" s="607"/>
      <c r="U9" s="607"/>
    </row>
    <row r="10" spans="1:21" ht="13.5" thickBot="1">
      <c r="A10" s="608"/>
      <c r="B10" s="608"/>
      <c r="C10" s="608"/>
      <c r="D10" s="608"/>
      <c r="E10" s="630"/>
      <c r="F10" s="631"/>
      <c r="G10" s="631"/>
      <c r="H10" s="632"/>
      <c r="I10" s="607"/>
      <c r="J10" s="607"/>
      <c r="K10" s="607"/>
      <c r="L10" s="607"/>
      <c r="M10" s="608" t="s">
        <v>82</v>
      </c>
      <c r="N10" s="608"/>
      <c r="O10" s="608" t="s">
        <v>83</v>
      </c>
      <c r="P10" s="608"/>
      <c r="Q10" s="608"/>
      <c r="R10" s="607"/>
      <c r="S10" s="607"/>
      <c r="T10" s="607"/>
      <c r="U10" s="607"/>
    </row>
    <row r="11" spans="1:21" ht="22.5" customHeight="1" thickBot="1">
      <c r="A11" s="648" t="s">
        <v>174</v>
      </c>
      <c r="B11" s="649"/>
      <c r="C11" s="649"/>
      <c r="D11" s="650"/>
      <c r="E11" s="609">
        <f>ÉVEK2000TŐL!G52</f>
        <v>693</v>
      </c>
      <c r="F11" s="615"/>
      <c r="G11" s="615"/>
      <c r="H11" s="616"/>
      <c r="I11" s="609">
        <f>ÉVEK2011TŐL!E94</f>
        <v>693</v>
      </c>
      <c r="J11" s="615"/>
      <c r="K11" s="615"/>
      <c r="L11" s="616"/>
      <c r="M11" s="617"/>
      <c r="N11" s="618"/>
      <c r="O11" s="619">
        <f>I11-E11</f>
        <v>0</v>
      </c>
      <c r="P11" s="610"/>
      <c r="Q11" s="611"/>
      <c r="R11" s="612"/>
      <c r="S11" s="613"/>
      <c r="T11" s="613"/>
      <c r="U11" s="614"/>
    </row>
    <row r="12" spans="1:21" ht="22.5" customHeight="1" thickBot="1">
      <c r="A12" s="648" t="s">
        <v>102</v>
      </c>
      <c r="B12" s="649"/>
      <c r="C12" s="649"/>
      <c r="D12" s="650"/>
      <c r="E12" s="609">
        <f>ÉVEK2011TŐL!D95</f>
        <v>2012</v>
      </c>
      <c r="F12" s="610"/>
      <c r="G12" s="610"/>
      <c r="H12" s="611"/>
      <c r="I12" s="609">
        <f>ÉVEK2011TŐL!E95</f>
        <v>1334</v>
      </c>
      <c r="J12" s="610"/>
      <c r="K12" s="610"/>
      <c r="L12" s="611"/>
      <c r="M12" s="617"/>
      <c r="N12" s="618"/>
      <c r="O12" s="619">
        <f>I12-E12</f>
        <v>-678</v>
      </c>
      <c r="P12" s="610"/>
      <c r="Q12" s="611"/>
      <c r="R12" s="612"/>
      <c r="S12" s="613"/>
      <c r="T12" s="613"/>
      <c r="U12" s="614"/>
    </row>
    <row r="13" spans="1:21" ht="41.25" customHeight="1" thickBot="1">
      <c r="A13" s="651" t="s">
        <v>103</v>
      </c>
      <c r="B13" s="634"/>
      <c r="C13" s="634"/>
      <c r="D13" s="635"/>
      <c r="E13" s="656"/>
      <c r="F13" s="657"/>
      <c r="G13" s="657"/>
      <c r="H13" s="658"/>
      <c r="I13" s="639"/>
      <c r="J13" s="640"/>
      <c r="K13" s="640"/>
      <c r="L13" s="641"/>
      <c r="M13" s="625"/>
      <c r="N13" s="626"/>
      <c r="O13" s="636">
        <f>I13-E13</f>
        <v>0</v>
      </c>
      <c r="P13" s="637"/>
      <c r="Q13" s="638"/>
      <c r="R13" s="653"/>
      <c r="S13" s="654"/>
      <c r="T13" s="654"/>
      <c r="U13" s="655"/>
    </row>
    <row r="14" spans="1:24" ht="39" customHeight="1" thickBot="1">
      <c r="A14" s="633" t="s">
        <v>104</v>
      </c>
      <c r="B14" s="634"/>
      <c r="C14" s="634"/>
      <c r="D14" s="635"/>
      <c r="E14" s="609">
        <f>IF(ÉVEK2011TŐL!D98&lt;0,ÉVEK2011TŐL!D98," ")</f>
        <v>-938</v>
      </c>
      <c r="F14" s="610"/>
      <c r="G14" s="610"/>
      <c r="H14" s="611"/>
      <c r="I14" s="609">
        <f>IF(ÉVEK2011TŐL!E98&lt;0,ÉVEK2011TŐL!E98," ")</f>
        <v>-1284</v>
      </c>
      <c r="J14" s="610"/>
      <c r="K14" s="610"/>
      <c r="L14" s="611"/>
      <c r="M14" s="659">
        <f>IF(E14=0," ",I14/E14)</f>
        <v>1.3688699360341152</v>
      </c>
      <c r="N14" s="660"/>
      <c r="O14" s="619">
        <f>I14-E14</f>
        <v>-346</v>
      </c>
      <c r="P14" s="610"/>
      <c r="Q14" s="611"/>
      <c r="R14" s="612"/>
      <c r="S14" s="613"/>
      <c r="T14" s="613"/>
      <c r="U14" s="614"/>
      <c r="X14" s="328"/>
    </row>
    <row r="15" spans="1:21" ht="39" customHeight="1" thickBot="1">
      <c r="A15" s="633" t="s">
        <v>105</v>
      </c>
      <c r="B15" s="634"/>
      <c r="C15" s="634"/>
      <c r="D15" s="635"/>
      <c r="E15" s="609" t="str">
        <f>IF(ÉVEK2011TŐL!D99&lt;0,ÉVEK2011TŐL!D99," ")</f>
        <v> </v>
      </c>
      <c r="F15" s="610"/>
      <c r="G15" s="610"/>
      <c r="H15" s="611"/>
      <c r="I15" s="609" t="str">
        <f>IF(ÉVEK2011TŐL!E99&lt;0,ÉVEK2011TŐL!E99," ")</f>
        <v> </v>
      </c>
      <c r="J15" s="610"/>
      <c r="K15" s="610"/>
      <c r="L15" s="611"/>
      <c r="M15" s="625" t="str">
        <f>IF(E15=" "," ",I15/E15)</f>
        <v> </v>
      </c>
      <c r="N15" s="626"/>
      <c r="O15" s="619" t="str">
        <f>IF(E15=" "," ",I15-E15)</f>
        <v> </v>
      </c>
      <c r="P15" s="610"/>
      <c r="Q15" s="611"/>
      <c r="R15" s="612"/>
      <c r="S15" s="613"/>
      <c r="T15" s="613"/>
      <c r="U15" s="614"/>
    </row>
    <row r="16" spans="1:21" ht="22.5" customHeight="1" thickBot="1">
      <c r="A16" s="645" t="s">
        <v>106</v>
      </c>
      <c r="B16" s="646"/>
      <c r="C16" s="646"/>
      <c r="D16" s="647"/>
      <c r="E16" s="652"/>
      <c r="F16" s="646"/>
      <c r="G16" s="646"/>
      <c r="H16" s="647"/>
      <c r="I16" s="652"/>
      <c r="J16" s="646"/>
      <c r="K16" s="646"/>
      <c r="L16" s="647"/>
      <c r="M16" s="620" t="str">
        <f>IF(E16=0," ",I16/E16)</f>
        <v> </v>
      </c>
      <c r="N16" s="621"/>
      <c r="O16" s="622">
        <f>I16-E16</f>
        <v>0</v>
      </c>
      <c r="P16" s="623"/>
      <c r="Q16" s="624"/>
      <c r="R16" s="642"/>
      <c r="S16" s="643"/>
      <c r="T16" s="643"/>
      <c r="U16" s="644"/>
    </row>
    <row r="23" spans="1:19" ht="12.75">
      <c r="A23" s="101" t="s">
        <v>15</v>
      </c>
      <c r="B23" s="101"/>
      <c r="C23" s="106" t="str">
        <f>Fedőlap!C44</f>
        <v>Budapest, 2013. április 16.</v>
      </c>
      <c r="D23" s="106"/>
      <c r="E23" s="106"/>
      <c r="F23" s="106"/>
      <c r="G23" s="106"/>
      <c r="H23" s="107"/>
      <c r="I23" s="101"/>
      <c r="J23" s="101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9" t="str">
        <f>Fedőlap!L45</f>
        <v>a szervezet vezetője</v>
      </c>
      <c r="L24" s="109"/>
      <c r="M24" s="109"/>
      <c r="N24" s="109"/>
      <c r="O24" s="109"/>
      <c r="P24" s="109"/>
      <c r="Q24" s="109"/>
      <c r="R24" s="109"/>
      <c r="S24" s="109"/>
    </row>
    <row r="25" spans="1:19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9" t="str">
        <f>Fedőlap!L46</f>
        <v>(képviselője)</v>
      </c>
      <c r="L25" s="109"/>
      <c r="M25" s="109"/>
      <c r="N25" s="109"/>
      <c r="O25" s="109"/>
      <c r="P25" s="109"/>
      <c r="Q25" s="109"/>
      <c r="R25" s="109"/>
      <c r="S25" s="109"/>
    </row>
    <row r="26" spans="1:19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5">
      <c r="A27" s="1"/>
      <c r="B27" s="1"/>
      <c r="C27" s="1"/>
      <c r="D27" s="1"/>
      <c r="E27" s="1"/>
      <c r="F27" s="1"/>
      <c r="G27" s="1"/>
      <c r="H27" s="1"/>
      <c r="I27" s="64" t="s">
        <v>20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30" ht="12.75">
      <c r="H30" t="str">
        <f>Fedőlap!K51</f>
        <v>„A közzétett adatok könyvvizsgálattal nincsenek alátámasztva”</v>
      </c>
    </row>
  </sheetData>
  <sheetProtection/>
  <mergeCells count="46">
    <mergeCell ref="Q1:R1"/>
    <mergeCell ref="R14:U14"/>
    <mergeCell ref="A6:L6"/>
    <mergeCell ref="M10:N10"/>
    <mergeCell ref="O10:Q10"/>
    <mergeCell ref="R9:U10"/>
    <mergeCell ref="R8:U8"/>
    <mergeCell ref="A9:D10"/>
    <mergeCell ref="R15:U15"/>
    <mergeCell ref="R16:U16"/>
    <mergeCell ref="A16:D16"/>
    <mergeCell ref="A11:D11"/>
    <mergeCell ref="A12:D12"/>
    <mergeCell ref="A13:D13"/>
    <mergeCell ref="E16:H16"/>
    <mergeCell ref="I16:L16"/>
    <mergeCell ref="R13:U13"/>
    <mergeCell ref="E13:H13"/>
    <mergeCell ref="E9:H10"/>
    <mergeCell ref="A14:D14"/>
    <mergeCell ref="A15:D15"/>
    <mergeCell ref="O12:Q12"/>
    <mergeCell ref="M13:N13"/>
    <mergeCell ref="O13:Q13"/>
    <mergeCell ref="I13:L13"/>
    <mergeCell ref="O14:Q14"/>
    <mergeCell ref="O15:Q15"/>
    <mergeCell ref="I12:L12"/>
    <mergeCell ref="M16:N16"/>
    <mergeCell ref="O16:Q16"/>
    <mergeCell ref="E14:H14"/>
    <mergeCell ref="E15:H15"/>
    <mergeCell ref="I15:L15"/>
    <mergeCell ref="M15:N15"/>
    <mergeCell ref="I14:L14"/>
    <mergeCell ref="M14:N14"/>
    <mergeCell ref="I9:L10"/>
    <mergeCell ref="M9:Q9"/>
    <mergeCell ref="E12:H12"/>
    <mergeCell ref="R12:U12"/>
    <mergeCell ref="I11:L11"/>
    <mergeCell ref="M11:N11"/>
    <mergeCell ref="O11:Q11"/>
    <mergeCell ref="M12:N12"/>
    <mergeCell ref="R11:U11"/>
    <mergeCell ref="E11:H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5" width="4.25390625" style="0" customWidth="1"/>
    <col min="6" max="6" width="5.00390625" style="0" customWidth="1"/>
    <col min="7" max="17" width="4.25390625" style="0" customWidth="1"/>
    <col min="18" max="18" width="2.625" style="0" customWidth="1"/>
    <col min="19" max="19" width="2.125" style="0" customWidth="1"/>
    <col min="20" max="20" width="4.25390625" style="0" customWidth="1"/>
    <col min="21" max="21" width="2.375" style="0" customWidth="1"/>
    <col min="22" max="22" width="2.625" style="0" customWidth="1"/>
  </cols>
  <sheetData>
    <row r="1" spans="1:22" ht="18.75" thickBot="1">
      <c r="A1" s="17" t="str">
        <f>Fedőlap!$A$1</f>
        <v>1</v>
      </c>
      <c r="B1" s="427" t="str">
        <f>Fedőlap!$B$1</f>
        <v>9</v>
      </c>
      <c r="C1" s="426"/>
      <c r="D1" s="19" t="str">
        <f>Fedőlap!$C$1</f>
        <v>6</v>
      </c>
      <c r="E1" s="19" t="str">
        <f>Fedőlap!$D$1</f>
        <v>2</v>
      </c>
      <c r="F1" s="19" t="str">
        <f>Fedőlap!$E$1</f>
        <v>2</v>
      </c>
      <c r="G1" s="19" t="str">
        <f>Fedőlap!$F$1</f>
        <v>6</v>
      </c>
      <c r="H1" s="19" t="str">
        <f>Fedőlap!$G$1</f>
        <v>8</v>
      </c>
      <c r="I1" s="18" t="str">
        <f>Fedőlap!$H$1</f>
        <v>4</v>
      </c>
      <c r="J1" s="17" t="str">
        <f>Fedőlap!$I$1</f>
        <v>9</v>
      </c>
      <c r="K1" s="19">
        <f>Fedőlap!$J$1</f>
        <v>4</v>
      </c>
      <c r="L1" s="19">
        <f>Fedőlap!K1</f>
        <v>9</v>
      </c>
      <c r="M1" s="117" t="str">
        <f>Fedőlap!L1</f>
        <v>9</v>
      </c>
      <c r="N1" s="17" t="str">
        <f>Fedőlap!M1</f>
        <v>5</v>
      </c>
      <c r="O1" s="19" t="str">
        <f>Fedőlap!N1</f>
        <v>2</v>
      </c>
      <c r="P1" s="18">
        <f>Fedőlap!O1</f>
        <v>2</v>
      </c>
      <c r="Q1" s="118" t="str">
        <f>Fedőlap!P1</f>
        <v>0</v>
      </c>
      <c r="R1" s="692" t="str">
        <f>Fedőlap!Q1</f>
        <v>1</v>
      </c>
      <c r="S1" s="693"/>
      <c r="T1" s="1"/>
      <c r="U1" s="1"/>
      <c r="V1" s="1"/>
    </row>
    <row r="2" spans="1:22" ht="12.75">
      <c r="A2" s="2" t="str">
        <f>Fedőlap!A2</f>
        <v>Statisztikai számjel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15" t="str">
        <f>Fedőlap!$B$9</f>
        <v>Budapesti Tájfutók Szövetsége</v>
      </c>
      <c r="B4" s="7"/>
      <c r="C4" s="7"/>
      <c r="D4" s="22"/>
      <c r="E4" s="7"/>
      <c r="F4" s="7"/>
      <c r="G4" s="7"/>
      <c r="H4" s="7"/>
      <c r="I4" s="7"/>
      <c r="J4" s="7"/>
      <c r="K4" s="7"/>
      <c r="L4" s="7"/>
      <c r="M4" s="7"/>
      <c r="N4" s="3"/>
      <c r="O4" s="1"/>
      <c r="P4" s="1"/>
      <c r="Q4" s="1"/>
      <c r="R4" s="1"/>
      <c r="S4" s="1"/>
      <c r="T4" s="1"/>
      <c r="U4" s="1"/>
      <c r="V4" s="1"/>
    </row>
    <row r="5" spans="1:13" ht="12.75">
      <c r="A5" s="6" t="str">
        <f>Fedőlap!A30</f>
        <v>- Egyszerűsített éves beszámoló KIEGÉSZÍTŐ MELLÉKLETE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6" t="str">
        <f>Fedőlap!B35</f>
        <v>- KIMUTATÁS A CÉL SZERINTI  JUTTATÁSRÓL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9:22" ht="13.5" thickBot="1">
      <c r="S8" s="663" t="s">
        <v>132</v>
      </c>
      <c r="T8" s="663"/>
      <c r="U8" s="663"/>
      <c r="V8" s="663"/>
    </row>
    <row r="9" spans="1:22" ht="13.5" thickBot="1">
      <c r="A9" s="704" t="s">
        <v>84</v>
      </c>
      <c r="B9" s="704"/>
      <c r="C9" s="704"/>
      <c r="D9" s="704"/>
      <c r="E9" s="704"/>
      <c r="F9" s="704"/>
      <c r="G9" s="608" t="s">
        <v>85</v>
      </c>
      <c r="H9" s="608"/>
      <c r="I9" s="608"/>
      <c r="J9" s="608"/>
      <c r="K9" s="608"/>
      <c r="L9" s="608"/>
      <c r="M9" s="608"/>
      <c r="N9" s="608" t="s">
        <v>80</v>
      </c>
      <c r="O9" s="608"/>
      <c r="P9" s="608"/>
      <c r="Q9" s="608"/>
      <c r="R9" s="608"/>
      <c r="S9" s="695" t="s">
        <v>81</v>
      </c>
      <c r="T9" s="695"/>
      <c r="U9" s="695"/>
      <c r="V9" s="695"/>
    </row>
    <row r="10" spans="1:22" ht="13.5" thickBot="1">
      <c r="A10" s="704"/>
      <c r="B10" s="704"/>
      <c r="C10" s="704"/>
      <c r="D10" s="704"/>
      <c r="E10" s="704"/>
      <c r="F10" s="704"/>
      <c r="G10" s="608" t="s">
        <v>86</v>
      </c>
      <c r="H10" s="608"/>
      <c r="I10" s="608"/>
      <c r="J10" s="608"/>
      <c r="K10" s="608" t="s">
        <v>75</v>
      </c>
      <c r="L10" s="608"/>
      <c r="M10" s="608"/>
      <c r="N10" s="608" t="s">
        <v>82</v>
      </c>
      <c r="O10" s="608"/>
      <c r="P10" s="608" t="s">
        <v>350</v>
      </c>
      <c r="Q10" s="608"/>
      <c r="R10" s="608"/>
      <c r="S10" s="695"/>
      <c r="T10" s="695"/>
      <c r="U10" s="695"/>
      <c r="V10" s="695"/>
    </row>
    <row r="11" spans="1:22" ht="27.75" customHeight="1" thickBot="1">
      <c r="A11" s="667" t="s">
        <v>87</v>
      </c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9"/>
    </row>
    <row r="12" spans="1:22" ht="20.25" customHeight="1" thickBot="1">
      <c r="A12" s="713" t="s">
        <v>90</v>
      </c>
      <c r="B12" s="714"/>
      <c r="C12" s="714"/>
      <c r="D12" s="714"/>
      <c r="E12" s="714"/>
      <c r="F12" s="715"/>
      <c r="G12" s="696">
        <v>0</v>
      </c>
      <c r="H12" s="697"/>
      <c r="I12" s="697"/>
      <c r="J12" s="698"/>
      <c r="K12" s="696">
        <v>0</v>
      </c>
      <c r="L12" s="697"/>
      <c r="M12" s="698"/>
      <c r="N12" s="690" t="str">
        <f>IF(G12=0," ",K12/G12)</f>
        <v> </v>
      </c>
      <c r="O12" s="709"/>
      <c r="P12" s="696">
        <f>K12-G12</f>
        <v>0</v>
      </c>
      <c r="Q12" s="697"/>
      <c r="R12" s="698"/>
      <c r="S12" s="705"/>
      <c r="T12" s="700"/>
      <c r="U12" s="700"/>
      <c r="V12" s="701"/>
    </row>
    <row r="13" spans="1:22" ht="20.25" customHeight="1" thickBot="1">
      <c r="A13" s="719" t="s">
        <v>329</v>
      </c>
      <c r="B13" s="720"/>
      <c r="C13" s="720"/>
      <c r="D13" s="720"/>
      <c r="E13" s="720"/>
      <c r="F13" s="721"/>
      <c r="G13" s="710"/>
      <c r="H13" s="711"/>
      <c r="I13" s="711"/>
      <c r="J13" s="712"/>
      <c r="K13" s="710"/>
      <c r="L13" s="711"/>
      <c r="M13" s="712"/>
      <c r="N13" s="690" t="str">
        <f>IF(G13=0," ",K13/G13)</f>
        <v> </v>
      </c>
      <c r="O13" s="709"/>
      <c r="P13" s="710">
        <f>K13-G13</f>
        <v>0</v>
      </c>
      <c r="Q13" s="711"/>
      <c r="R13" s="712"/>
      <c r="S13" s="706"/>
      <c r="T13" s="707"/>
      <c r="U13" s="707"/>
      <c r="V13" s="708"/>
    </row>
    <row r="14" spans="1:22" ht="23.25" customHeight="1" thickBot="1">
      <c r="A14" s="717" t="s">
        <v>88</v>
      </c>
      <c r="B14" s="718"/>
      <c r="C14" s="718"/>
      <c r="D14" s="718"/>
      <c r="E14" s="718"/>
      <c r="F14" s="718"/>
      <c r="G14" s="694">
        <f>G12+G13</f>
        <v>0</v>
      </c>
      <c r="H14" s="688"/>
      <c r="I14" s="688"/>
      <c r="J14" s="689"/>
      <c r="K14" s="694">
        <f>K12+K13</f>
        <v>0</v>
      </c>
      <c r="L14" s="688"/>
      <c r="M14" s="689"/>
      <c r="N14" s="716" t="str">
        <f>IF(G14=0," ",K14/G14)</f>
        <v> </v>
      </c>
      <c r="O14" s="703"/>
      <c r="P14" s="694">
        <f>K14-G14</f>
        <v>0</v>
      </c>
      <c r="Q14" s="688"/>
      <c r="R14" s="689"/>
      <c r="S14" s="699"/>
      <c r="T14" s="700"/>
      <c r="U14" s="700"/>
      <c r="V14" s="701"/>
    </row>
    <row r="15" spans="1:22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3.5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663" t="s">
        <v>132</v>
      </c>
      <c r="T17" s="663"/>
      <c r="U17" s="663"/>
      <c r="V17" s="663"/>
    </row>
    <row r="18" spans="1:22" ht="13.5" thickBot="1">
      <c r="A18" s="704" t="s">
        <v>84</v>
      </c>
      <c r="B18" s="704"/>
      <c r="C18" s="704"/>
      <c r="D18" s="704"/>
      <c r="E18" s="704"/>
      <c r="F18" s="704"/>
      <c r="G18" s="608" t="s">
        <v>85</v>
      </c>
      <c r="H18" s="608"/>
      <c r="I18" s="608"/>
      <c r="J18" s="608"/>
      <c r="K18" s="608"/>
      <c r="L18" s="608"/>
      <c r="M18" s="608"/>
      <c r="N18" s="608" t="s">
        <v>80</v>
      </c>
      <c r="O18" s="608"/>
      <c r="P18" s="608"/>
      <c r="Q18" s="608"/>
      <c r="R18" s="608"/>
      <c r="S18" s="695" t="s">
        <v>81</v>
      </c>
      <c r="T18" s="695"/>
      <c r="U18" s="695"/>
      <c r="V18" s="695"/>
    </row>
    <row r="19" spans="1:22" ht="13.5" thickBot="1">
      <c r="A19" s="704"/>
      <c r="B19" s="704"/>
      <c r="C19" s="704"/>
      <c r="D19" s="704"/>
      <c r="E19" s="704"/>
      <c r="F19" s="704"/>
      <c r="G19" s="608" t="s">
        <v>86</v>
      </c>
      <c r="H19" s="608"/>
      <c r="I19" s="608"/>
      <c r="J19" s="608"/>
      <c r="K19" s="608" t="s">
        <v>75</v>
      </c>
      <c r="L19" s="608"/>
      <c r="M19" s="608"/>
      <c r="N19" s="608" t="s">
        <v>82</v>
      </c>
      <c r="O19" s="608"/>
      <c r="P19" s="608" t="s">
        <v>350</v>
      </c>
      <c r="Q19" s="608"/>
      <c r="R19" s="608"/>
      <c r="S19" s="695"/>
      <c r="T19" s="695"/>
      <c r="U19" s="695"/>
      <c r="V19" s="695"/>
    </row>
    <row r="20" spans="1:22" ht="27.75" customHeight="1" thickBot="1">
      <c r="A20" s="667" t="s">
        <v>89</v>
      </c>
      <c r="B20" s="668"/>
      <c r="C20" s="668"/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9"/>
    </row>
    <row r="21" spans="1:22" ht="20.25" customHeight="1" thickBot="1">
      <c r="A21" s="678" t="s">
        <v>90</v>
      </c>
      <c r="B21" s="679"/>
      <c r="C21" s="679"/>
      <c r="D21" s="679"/>
      <c r="E21" s="679"/>
      <c r="F21" s="680"/>
      <c r="G21" s="673"/>
      <c r="H21" s="674"/>
      <c r="I21" s="674"/>
      <c r="J21" s="675"/>
      <c r="K21" s="673"/>
      <c r="L21" s="674"/>
      <c r="M21" s="675"/>
      <c r="N21" s="690" t="str">
        <f>IF(G21=0," ",K21/G21)</f>
        <v> </v>
      </c>
      <c r="O21" s="691"/>
      <c r="P21" s="670">
        <f>K21-G21</f>
        <v>0</v>
      </c>
      <c r="Q21" s="671"/>
      <c r="R21" s="672"/>
      <c r="S21" s="664"/>
      <c r="T21" s="665"/>
      <c r="U21" s="665"/>
      <c r="V21" s="666"/>
    </row>
    <row r="22" spans="1:22" ht="20.25" customHeight="1" thickBot="1">
      <c r="A22" s="681" t="s">
        <v>91</v>
      </c>
      <c r="B22" s="682"/>
      <c r="C22" s="682"/>
      <c r="D22" s="682"/>
      <c r="E22" s="682"/>
      <c r="F22" s="683"/>
      <c r="G22" s="673"/>
      <c r="H22" s="674"/>
      <c r="I22" s="674"/>
      <c r="J22" s="675"/>
      <c r="K22" s="673"/>
      <c r="L22" s="674"/>
      <c r="M22" s="675"/>
      <c r="N22" s="690" t="str">
        <f>IF(G22=0," ",K22/G22)</f>
        <v> </v>
      </c>
      <c r="O22" s="691"/>
      <c r="P22" s="670">
        <f>K22-G22</f>
        <v>0</v>
      </c>
      <c r="Q22" s="671"/>
      <c r="R22" s="672"/>
      <c r="S22" s="664"/>
      <c r="T22" s="665"/>
      <c r="U22" s="665"/>
      <c r="V22" s="666"/>
    </row>
    <row r="23" spans="1:22" ht="20.25" customHeight="1" thickBot="1">
      <c r="A23" s="676" t="s">
        <v>88</v>
      </c>
      <c r="B23" s="677"/>
      <c r="C23" s="677"/>
      <c r="D23" s="677"/>
      <c r="E23" s="677"/>
      <c r="F23" s="677"/>
      <c r="G23" s="687">
        <f>G21+G22</f>
        <v>0</v>
      </c>
      <c r="H23" s="688"/>
      <c r="I23" s="688"/>
      <c r="J23" s="689"/>
      <c r="K23" s="687">
        <f>K21+K22</f>
        <v>0</v>
      </c>
      <c r="L23" s="688"/>
      <c r="M23" s="689"/>
      <c r="N23" s="702" t="str">
        <f>IF(G23=0," ",K23/G23)</f>
        <v> </v>
      </c>
      <c r="O23" s="703"/>
      <c r="P23" s="687">
        <f>P21+P22</f>
        <v>0</v>
      </c>
      <c r="Q23" s="688"/>
      <c r="R23" s="689"/>
      <c r="S23" s="684"/>
      <c r="T23" s="685"/>
      <c r="U23" s="685"/>
      <c r="V23" s="686"/>
    </row>
    <row r="29" spans="1:20" ht="12.75">
      <c r="A29" s="101" t="s">
        <v>15</v>
      </c>
      <c r="B29" s="101"/>
      <c r="C29" s="7" t="str">
        <f>Fedőlap!C44</f>
        <v>Budapest, 2013. április 16.</v>
      </c>
      <c r="D29" s="106"/>
      <c r="E29" s="106"/>
      <c r="F29" s="106"/>
      <c r="G29" s="106"/>
      <c r="H29" s="106"/>
      <c r="I29" s="107"/>
      <c r="J29" s="101"/>
      <c r="K29" s="101"/>
      <c r="L29" s="108"/>
      <c r="M29" s="108"/>
      <c r="N29" s="108"/>
      <c r="O29" s="108"/>
      <c r="P29" s="108"/>
      <c r="Q29" s="108"/>
      <c r="R29" s="108"/>
      <c r="S29" s="108"/>
      <c r="T29" s="108"/>
    </row>
    <row r="30" spans="1:20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9" t="str">
        <f>Fedőlap!L45</f>
        <v>a szervezet vezetője</v>
      </c>
      <c r="M30" s="109"/>
      <c r="N30" s="109"/>
      <c r="O30" s="109"/>
      <c r="P30" s="109"/>
      <c r="Q30" s="109"/>
      <c r="R30" s="109"/>
      <c r="S30" s="109"/>
      <c r="T30" s="109"/>
    </row>
    <row r="31" spans="1:20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9" t="str">
        <f>Fedőlap!L46</f>
        <v>(képviselője)</v>
      </c>
      <c r="M31" s="109"/>
      <c r="N31" s="109"/>
      <c r="O31" s="109"/>
      <c r="P31" s="109"/>
      <c r="Q31" s="109"/>
      <c r="R31" s="109"/>
      <c r="S31" s="109"/>
      <c r="T31" s="109"/>
    </row>
    <row r="32" spans="1:20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15">
      <c r="A33" s="1"/>
      <c r="B33" s="1"/>
      <c r="C33" s="1"/>
      <c r="D33" s="1"/>
      <c r="E33" s="1"/>
      <c r="F33" s="1"/>
      <c r="G33" s="1"/>
      <c r="H33" s="1"/>
      <c r="I33" s="1"/>
      <c r="J33" s="64" t="s">
        <v>20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7" ht="12.75">
      <c r="I37" t="str">
        <f>Fedőlap!K51</f>
        <v>„A közzétett adatok könyvvizsgálattal nincsenek alátámasztva”</v>
      </c>
    </row>
  </sheetData>
  <sheetProtection/>
  <mergeCells count="58">
    <mergeCell ref="G9:M9"/>
    <mergeCell ref="N9:R9"/>
    <mergeCell ref="A9:F10"/>
    <mergeCell ref="N14:O14"/>
    <mergeCell ref="A14:F14"/>
    <mergeCell ref="A13:F13"/>
    <mergeCell ref="K13:M13"/>
    <mergeCell ref="A12:F12"/>
    <mergeCell ref="P10:R10"/>
    <mergeCell ref="P14:R14"/>
    <mergeCell ref="K10:M10"/>
    <mergeCell ref="N10:O10"/>
    <mergeCell ref="A11:V11"/>
    <mergeCell ref="G13:J13"/>
    <mergeCell ref="G10:J10"/>
    <mergeCell ref="S12:V12"/>
    <mergeCell ref="S13:V13"/>
    <mergeCell ref="K12:M12"/>
    <mergeCell ref="N12:O12"/>
    <mergeCell ref="P12:R12"/>
    <mergeCell ref="N13:O13"/>
    <mergeCell ref="P13:R13"/>
    <mergeCell ref="G12:J12"/>
    <mergeCell ref="S14:V14"/>
    <mergeCell ref="S9:V10"/>
    <mergeCell ref="N23:O23"/>
    <mergeCell ref="G18:M18"/>
    <mergeCell ref="N18:R18"/>
    <mergeCell ref="N19:O19"/>
    <mergeCell ref="K21:M21"/>
    <mergeCell ref="N22:O22"/>
    <mergeCell ref="P22:R22"/>
    <mergeCell ref="K22:M22"/>
    <mergeCell ref="B1:C1"/>
    <mergeCell ref="R1:S1"/>
    <mergeCell ref="K14:M14"/>
    <mergeCell ref="G19:J19"/>
    <mergeCell ref="K19:M19"/>
    <mergeCell ref="S18:V19"/>
    <mergeCell ref="G14:J14"/>
    <mergeCell ref="S8:V8"/>
    <mergeCell ref="S17:V17"/>
    <mergeCell ref="A23:F23"/>
    <mergeCell ref="A21:F21"/>
    <mergeCell ref="A22:F22"/>
    <mergeCell ref="S23:V23"/>
    <mergeCell ref="S22:V22"/>
    <mergeCell ref="G23:J23"/>
    <mergeCell ref="K23:M23"/>
    <mergeCell ref="P23:R23"/>
    <mergeCell ref="N21:O21"/>
    <mergeCell ref="G22:J22"/>
    <mergeCell ref="P19:R19"/>
    <mergeCell ref="S21:V21"/>
    <mergeCell ref="A20:V20"/>
    <mergeCell ref="P21:R21"/>
    <mergeCell ref="G21:J21"/>
    <mergeCell ref="A18:F19"/>
  </mergeCells>
  <printOptions horizontalCentered="1"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4" width="4.25390625" style="0" customWidth="1"/>
    <col min="5" max="5" width="5.00390625" style="0" customWidth="1"/>
    <col min="6" max="10" width="4.25390625" style="0" customWidth="1"/>
    <col min="11" max="11" width="4.375" style="0" customWidth="1"/>
    <col min="12" max="12" width="4.875" style="0" customWidth="1"/>
    <col min="13" max="16" width="4.25390625" style="0" customWidth="1"/>
    <col min="17" max="17" width="4.75390625" style="0" customWidth="1"/>
    <col min="18" max="18" width="1.37890625" style="0" customWidth="1"/>
    <col min="19" max="19" width="2.375" style="0" customWidth="1"/>
    <col min="20" max="20" width="3.25390625" style="0" customWidth="1"/>
  </cols>
  <sheetData>
    <row r="1" spans="1:20" ht="18.75" thickBot="1">
      <c r="A1" s="17" t="str">
        <f>Fedőlap!$A$1</f>
        <v>1</v>
      </c>
      <c r="B1" s="117" t="str">
        <f>Fedőlap!$B$1</f>
        <v>9</v>
      </c>
      <c r="C1" s="19" t="str">
        <f>Fedőlap!$C$1</f>
        <v>6</v>
      </c>
      <c r="D1" s="19" t="str">
        <f>Fedőlap!$D$1</f>
        <v>2</v>
      </c>
      <c r="E1" s="19" t="str">
        <f>Fedőlap!$E$1</f>
        <v>2</v>
      </c>
      <c r="F1" s="19" t="str">
        <f>Fedőlap!$F$1</f>
        <v>6</v>
      </c>
      <c r="G1" s="19" t="str">
        <f>Fedőlap!$G$1</f>
        <v>8</v>
      </c>
      <c r="H1" s="18" t="str">
        <f>Fedőlap!$H$1</f>
        <v>4</v>
      </c>
      <c r="I1" s="17" t="str">
        <f>Fedőlap!$I$1</f>
        <v>9</v>
      </c>
      <c r="J1" s="19">
        <f>Fedőlap!$J$1</f>
        <v>4</v>
      </c>
      <c r="K1" s="19">
        <f>Fedőlap!K1</f>
        <v>9</v>
      </c>
      <c r="L1" s="117" t="str">
        <f>Fedőlap!L1</f>
        <v>9</v>
      </c>
      <c r="M1" s="17" t="str">
        <f>Fedőlap!M1</f>
        <v>5</v>
      </c>
      <c r="N1" s="19" t="str">
        <f>Fedőlap!N1</f>
        <v>2</v>
      </c>
      <c r="O1" s="18">
        <f>Fedőlap!O1</f>
        <v>2</v>
      </c>
      <c r="P1" s="118" t="str">
        <f>Fedőlap!P1</f>
        <v>0</v>
      </c>
      <c r="Q1" s="294" t="str">
        <f>Fedőlap!Q1</f>
        <v>1</v>
      </c>
      <c r="R1" s="16"/>
      <c r="S1" s="1"/>
      <c r="T1" s="1"/>
    </row>
    <row r="2" spans="1:20" ht="12.75">
      <c r="A2" s="2" t="str">
        <f>Fedőlap!A2</f>
        <v>Statisztikai számjel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</row>
    <row r="3" spans="1:20" ht="12.75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21" t="str">
        <f>Fedőlap!$B$9</f>
        <v>Budapesti Tájfutók Szövetsége</v>
      </c>
      <c r="B4" s="7"/>
      <c r="C4" s="22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</row>
    <row r="5" spans="1:12" ht="12.75">
      <c r="A5" s="112" t="str">
        <f>Fedőlap!A30</f>
        <v>- Egyszerűsített éves beszámoló KIEGÉSZÍTŐ MELLÉKLETE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522" t="str">
        <f>Fedőlap!B37</f>
        <v>- KIMUTATÁS A VEZETŐ TISZTSÉGVISELŐK JUTTATÁSAIRÓL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</row>
    <row r="7" ht="13.5" thickBot="1"/>
    <row r="8" spans="1:20" ht="13.5" thickBot="1">
      <c r="A8" s="747" t="s">
        <v>95</v>
      </c>
      <c r="B8" s="742"/>
      <c r="C8" s="742"/>
      <c r="D8" s="742"/>
      <c r="E8" s="742"/>
      <c r="F8" s="743"/>
      <c r="G8" s="747" t="s">
        <v>85</v>
      </c>
      <c r="H8" s="742"/>
      <c r="I8" s="742"/>
      <c r="J8" s="742"/>
      <c r="K8" s="742"/>
      <c r="L8" s="742"/>
      <c r="M8" s="742"/>
      <c r="N8" s="742"/>
      <c r="O8" s="748"/>
      <c r="P8" s="742" t="s">
        <v>96</v>
      </c>
      <c r="Q8" s="742"/>
      <c r="R8" s="742"/>
      <c r="S8" s="742"/>
      <c r="T8" s="743"/>
    </row>
    <row r="9" spans="1:20" ht="13.5" thickBot="1">
      <c r="A9" s="752" t="s">
        <v>93</v>
      </c>
      <c r="B9" s="753"/>
      <c r="C9" s="753"/>
      <c r="D9" s="753"/>
      <c r="E9" s="753"/>
      <c r="F9" s="754"/>
      <c r="G9" s="744" t="s">
        <v>74</v>
      </c>
      <c r="H9" s="744"/>
      <c r="I9" s="744"/>
      <c r="J9" s="744"/>
      <c r="K9" s="744"/>
      <c r="L9" s="744" t="s">
        <v>75</v>
      </c>
      <c r="M9" s="744"/>
      <c r="N9" s="744"/>
      <c r="O9" s="744"/>
      <c r="P9" s="744" t="s">
        <v>82</v>
      </c>
      <c r="Q9" s="744"/>
      <c r="R9" s="744" t="s">
        <v>83</v>
      </c>
      <c r="S9" s="744"/>
      <c r="T9" s="744"/>
    </row>
    <row r="10" spans="1:20" ht="24" customHeight="1">
      <c r="A10" s="749" t="s">
        <v>97</v>
      </c>
      <c r="B10" s="750"/>
      <c r="C10" s="750"/>
      <c r="D10" s="750"/>
      <c r="E10" s="750"/>
      <c r="F10" s="751"/>
      <c r="G10" s="726">
        <f>SUM(G11:K12)</f>
        <v>0</v>
      </c>
      <c r="H10" s="727"/>
      <c r="I10" s="727"/>
      <c r="J10" s="727"/>
      <c r="K10" s="489"/>
      <c r="L10" s="726">
        <f>SUM(L11:O12)</f>
        <v>0</v>
      </c>
      <c r="M10" s="727"/>
      <c r="N10" s="727"/>
      <c r="O10" s="489"/>
      <c r="P10" s="745" t="str">
        <f>IF(G10=0," ",L10/G10)</f>
        <v> </v>
      </c>
      <c r="Q10" s="746"/>
      <c r="R10" s="758">
        <f>L10-G10</f>
        <v>0</v>
      </c>
      <c r="S10" s="759"/>
      <c r="T10" s="760"/>
    </row>
    <row r="11" spans="1:20" ht="12.75">
      <c r="A11" s="728"/>
      <c r="B11" s="729"/>
      <c r="C11" s="729"/>
      <c r="D11" s="729"/>
      <c r="E11" s="729"/>
      <c r="F11" s="730"/>
      <c r="G11" s="722"/>
      <c r="H11" s="587"/>
      <c r="I11" s="587"/>
      <c r="J11" s="587"/>
      <c r="K11" s="723"/>
      <c r="L11" s="722"/>
      <c r="M11" s="587"/>
      <c r="N11" s="587"/>
      <c r="O11" s="723"/>
      <c r="P11" s="724" t="str">
        <f>IF(G11=0," ",L11/G11)</f>
        <v> </v>
      </c>
      <c r="Q11" s="725"/>
      <c r="R11" s="732">
        <f>L11-G11</f>
        <v>0</v>
      </c>
      <c r="S11" s="578"/>
      <c r="T11" s="733"/>
    </row>
    <row r="12" spans="1:20" ht="13.5" thickBot="1">
      <c r="A12" s="734"/>
      <c r="B12" s="735"/>
      <c r="C12" s="735"/>
      <c r="D12" s="735"/>
      <c r="E12" s="735"/>
      <c r="F12" s="736"/>
      <c r="G12" s="737"/>
      <c r="H12" s="738"/>
      <c r="I12" s="738"/>
      <c r="J12" s="738"/>
      <c r="K12" s="739"/>
      <c r="L12" s="737"/>
      <c r="M12" s="738"/>
      <c r="N12" s="738"/>
      <c r="O12" s="739"/>
      <c r="P12" s="740" t="str">
        <f>IF(G12=0," ",L12/G12)</f>
        <v> </v>
      </c>
      <c r="Q12" s="741"/>
      <c r="R12" s="731">
        <f>L12-G12</f>
        <v>0</v>
      </c>
      <c r="S12" s="507"/>
      <c r="T12" s="510"/>
    </row>
    <row r="13" spans="1:20" ht="24" customHeight="1">
      <c r="A13" s="749" t="s">
        <v>98</v>
      </c>
      <c r="B13" s="750"/>
      <c r="C13" s="750"/>
      <c r="D13" s="750"/>
      <c r="E13" s="750"/>
      <c r="F13" s="751"/>
      <c r="G13" s="726">
        <f>G14+G15</f>
        <v>0</v>
      </c>
      <c r="H13" s="727"/>
      <c r="I13" s="727"/>
      <c r="J13" s="727"/>
      <c r="K13" s="489"/>
      <c r="L13" s="726">
        <f>L14+L15</f>
        <v>0</v>
      </c>
      <c r="M13" s="727"/>
      <c r="N13" s="727"/>
      <c r="O13" s="489"/>
      <c r="P13" s="745" t="str">
        <f aca="true" t="shared" si="0" ref="P13:P25">IF(G13=0," ",L13/G13)</f>
        <v> </v>
      </c>
      <c r="Q13" s="746"/>
      <c r="R13" s="758">
        <f aca="true" t="shared" si="1" ref="R13:R22">L13-G13</f>
        <v>0</v>
      </c>
      <c r="S13" s="759"/>
      <c r="T13" s="760"/>
    </row>
    <row r="14" spans="1:20" ht="12.75">
      <c r="A14" s="728"/>
      <c r="B14" s="729"/>
      <c r="C14" s="729"/>
      <c r="D14" s="729"/>
      <c r="E14" s="729"/>
      <c r="F14" s="730"/>
      <c r="G14" s="722"/>
      <c r="H14" s="587"/>
      <c r="I14" s="587"/>
      <c r="J14" s="587"/>
      <c r="K14" s="723"/>
      <c r="L14" s="722"/>
      <c r="M14" s="587"/>
      <c r="N14" s="587"/>
      <c r="O14" s="723"/>
      <c r="P14" s="724" t="str">
        <f t="shared" si="0"/>
        <v> </v>
      </c>
      <c r="Q14" s="725"/>
      <c r="R14" s="732">
        <f t="shared" si="1"/>
        <v>0</v>
      </c>
      <c r="S14" s="578"/>
      <c r="T14" s="733"/>
    </row>
    <row r="15" spans="1:20" ht="13.5" thickBot="1">
      <c r="A15" s="734"/>
      <c r="B15" s="735"/>
      <c r="C15" s="735"/>
      <c r="D15" s="735"/>
      <c r="E15" s="735"/>
      <c r="F15" s="736"/>
      <c r="G15" s="737"/>
      <c r="H15" s="738"/>
      <c r="I15" s="738"/>
      <c r="J15" s="738"/>
      <c r="K15" s="739"/>
      <c r="L15" s="737"/>
      <c r="M15" s="738"/>
      <c r="N15" s="738"/>
      <c r="O15" s="739"/>
      <c r="P15" s="740" t="str">
        <f t="shared" si="0"/>
        <v> </v>
      </c>
      <c r="Q15" s="741"/>
      <c r="R15" s="731">
        <f t="shared" si="1"/>
        <v>0</v>
      </c>
      <c r="S15" s="507"/>
      <c r="T15" s="510"/>
    </row>
    <row r="16" spans="1:20" ht="24" customHeight="1">
      <c r="A16" s="749" t="s">
        <v>99</v>
      </c>
      <c r="B16" s="750"/>
      <c r="C16" s="750"/>
      <c r="D16" s="750"/>
      <c r="E16" s="750"/>
      <c r="F16" s="751"/>
      <c r="G16" s="726">
        <f>G17+G18</f>
        <v>0</v>
      </c>
      <c r="H16" s="727"/>
      <c r="I16" s="727"/>
      <c r="J16" s="727"/>
      <c r="K16" s="489"/>
      <c r="L16" s="726">
        <f>L17+L18</f>
        <v>0</v>
      </c>
      <c r="M16" s="727"/>
      <c r="N16" s="727"/>
      <c r="O16" s="489"/>
      <c r="P16" s="745" t="str">
        <f t="shared" si="0"/>
        <v> </v>
      </c>
      <c r="Q16" s="746"/>
      <c r="R16" s="758">
        <f t="shared" si="1"/>
        <v>0</v>
      </c>
      <c r="S16" s="759"/>
      <c r="T16" s="760"/>
    </row>
    <row r="17" spans="1:20" ht="12.75">
      <c r="A17" s="728"/>
      <c r="B17" s="729"/>
      <c r="C17" s="729"/>
      <c r="D17" s="729"/>
      <c r="E17" s="729"/>
      <c r="F17" s="730"/>
      <c r="G17" s="722"/>
      <c r="H17" s="587"/>
      <c r="I17" s="587"/>
      <c r="J17" s="587"/>
      <c r="K17" s="723"/>
      <c r="L17" s="722"/>
      <c r="M17" s="587"/>
      <c r="N17" s="587"/>
      <c r="O17" s="723"/>
      <c r="P17" s="724" t="str">
        <f>IF(G17=0," ",L17/G17)</f>
        <v> </v>
      </c>
      <c r="Q17" s="725"/>
      <c r="R17" s="732">
        <f>L17-G17</f>
        <v>0</v>
      </c>
      <c r="S17" s="578"/>
      <c r="T17" s="733"/>
    </row>
    <row r="18" spans="1:20" ht="13.5" thickBot="1">
      <c r="A18" s="734"/>
      <c r="B18" s="735"/>
      <c r="C18" s="735"/>
      <c r="D18" s="735"/>
      <c r="E18" s="735"/>
      <c r="F18" s="736"/>
      <c r="G18" s="737"/>
      <c r="H18" s="738"/>
      <c r="I18" s="738"/>
      <c r="J18" s="738"/>
      <c r="K18" s="739"/>
      <c r="L18" s="737"/>
      <c r="M18" s="738"/>
      <c r="N18" s="738"/>
      <c r="O18" s="739"/>
      <c r="P18" s="740" t="str">
        <f>IF(G18=0," ",L18/G18)</f>
        <v> </v>
      </c>
      <c r="Q18" s="741"/>
      <c r="R18" s="731">
        <f>L18-G18</f>
        <v>0</v>
      </c>
      <c r="S18" s="507"/>
      <c r="T18" s="510"/>
    </row>
    <row r="19" spans="1:20" ht="24" customHeight="1">
      <c r="A19" s="755" t="s">
        <v>100</v>
      </c>
      <c r="B19" s="755"/>
      <c r="C19" s="755"/>
      <c r="D19" s="755"/>
      <c r="E19" s="755"/>
      <c r="F19" s="755"/>
      <c r="G19" s="726">
        <f>G20+G21</f>
        <v>0</v>
      </c>
      <c r="H19" s="727"/>
      <c r="I19" s="727"/>
      <c r="J19" s="727"/>
      <c r="K19" s="489"/>
      <c r="L19" s="726">
        <f>L20+L21</f>
        <v>0</v>
      </c>
      <c r="M19" s="727"/>
      <c r="N19" s="727"/>
      <c r="O19" s="489"/>
      <c r="P19" s="745" t="str">
        <f t="shared" si="0"/>
        <v> </v>
      </c>
      <c r="Q19" s="746"/>
      <c r="R19" s="758">
        <f t="shared" si="1"/>
        <v>0</v>
      </c>
      <c r="S19" s="759"/>
      <c r="T19" s="760"/>
    </row>
    <row r="20" spans="1:20" ht="12.75">
      <c r="A20" s="728"/>
      <c r="B20" s="729"/>
      <c r="C20" s="729"/>
      <c r="D20" s="729"/>
      <c r="E20" s="729"/>
      <c r="F20" s="730"/>
      <c r="G20" s="722"/>
      <c r="H20" s="587"/>
      <c r="I20" s="587"/>
      <c r="J20" s="587"/>
      <c r="K20" s="723"/>
      <c r="L20" s="722"/>
      <c r="M20" s="587"/>
      <c r="N20" s="587"/>
      <c r="O20" s="723"/>
      <c r="P20" s="724" t="str">
        <f t="shared" si="0"/>
        <v> </v>
      </c>
      <c r="Q20" s="725"/>
      <c r="R20" s="732">
        <f t="shared" si="1"/>
        <v>0</v>
      </c>
      <c r="S20" s="578"/>
      <c r="T20" s="733"/>
    </row>
    <row r="21" spans="1:20" ht="13.5" thickBot="1">
      <c r="A21" s="734"/>
      <c r="B21" s="735"/>
      <c r="C21" s="735"/>
      <c r="D21" s="735"/>
      <c r="E21" s="735"/>
      <c r="F21" s="736"/>
      <c r="G21" s="737"/>
      <c r="H21" s="738"/>
      <c r="I21" s="738"/>
      <c r="J21" s="738"/>
      <c r="K21" s="739"/>
      <c r="L21" s="737"/>
      <c r="M21" s="738"/>
      <c r="N21" s="738"/>
      <c r="O21" s="739"/>
      <c r="P21" s="740" t="str">
        <f t="shared" si="0"/>
        <v> </v>
      </c>
      <c r="Q21" s="741"/>
      <c r="R21" s="731">
        <f t="shared" si="1"/>
        <v>0</v>
      </c>
      <c r="S21" s="507"/>
      <c r="T21" s="510"/>
    </row>
    <row r="22" spans="1:20" ht="24" customHeight="1">
      <c r="A22" s="755" t="s">
        <v>101</v>
      </c>
      <c r="B22" s="755"/>
      <c r="C22" s="755"/>
      <c r="D22" s="755"/>
      <c r="E22" s="755"/>
      <c r="F22" s="755"/>
      <c r="G22" s="726">
        <f>G23+G24</f>
        <v>0</v>
      </c>
      <c r="H22" s="727"/>
      <c r="I22" s="727"/>
      <c r="J22" s="727"/>
      <c r="K22" s="489"/>
      <c r="L22" s="726">
        <f>L23+L24</f>
        <v>0</v>
      </c>
      <c r="M22" s="727"/>
      <c r="N22" s="727"/>
      <c r="O22" s="489"/>
      <c r="P22" s="745" t="str">
        <f t="shared" si="0"/>
        <v> </v>
      </c>
      <c r="Q22" s="746"/>
      <c r="R22" s="758">
        <f t="shared" si="1"/>
        <v>0</v>
      </c>
      <c r="S22" s="759"/>
      <c r="T22" s="760"/>
    </row>
    <row r="23" spans="1:20" ht="12.75">
      <c r="A23" s="728"/>
      <c r="B23" s="729"/>
      <c r="C23" s="729"/>
      <c r="D23" s="729"/>
      <c r="E23" s="729"/>
      <c r="F23" s="730"/>
      <c r="G23" s="722"/>
      <c r="H23" s="587"/>
      <c r="I23" s="587"/>
      <c r="J23" s="587"/>
      <c r="K23" s="723"/>
      <c r="L23" s="722"/>
      <c r="M23" s="587"/>
      <c r="N23" s="587"/>
      <c r="O23" s="723"/>
      <c r="P23" s="724" t="str">
        <f>IF(G23=0," ",L23/G23)</f>
        <v> </v>
      </c>
      <c r="Q23" s="725"/>
      <c r="R23" s="732">
        <f>L23-G23</f>
        <v>0</v>
      </c>
      <c r="S23" s="578"/>
      <c r="T23" s="733"/>
    </row>
    <row r="24" spans="1:20" ht="13.5" thickBot="1">
      <c r="A24" s="734"/>
      <c r="B24" s="735"/>
      <c r="C24" s="735"/>
      <c r="D24" s="735"/>
      <c r="E24" s="735"/>
      <c r="F24" s="736"/>
      <c r="G24" s="737"/>
      <c r="H24" s="738"/>
      <c r="I24" s="738"/>
      <c r="J24" s="738"/>
      <c r="K24" s="739"/>
      <c r="L24" s="737"/>
      <c r="M24" s="738"/>
      <c r="N24" s="738"/>
      <c r="O24" s="739"/>
      <c r="P24" s="740" t="str">
        <f>IF(G24=0," ",L24/G24)</f>
        <v> </v>
      </c>
      <c r="Q24" s="741"/>
      <c r="R24" s="731">
        <f>L24-G24</f>
        <v>0</v>
      </c>
      <c r="S24" s="507"/>
      <c r="T24" s="510"/>
    </row>
    <row r="25" spans="1:20" ht="30" customHeight="1" thickBot="1">
      <c r="A25" s="756" t="s">
        <v>88</v>
      </c>
      <c r="B25" s="756"/>
      <c r="C25" s="756"/>
      <c r="D25" s="756"/>
      <c r="E25" s="756"/>
      <c r="F25" s="756"/>
      <c r="G25" s="757">
        <f>G10+G13+G16+G19+G22</f>
        <v>0</v>
      </c>
      <c r="H25" s="757"/>
      <c r="I25" s="757"/>
      <c r="J25" s="757"/>
      <c r="K25" s="757"/>
      <c r="L25" s="757">
        <f>L10+L13+L16+L19+L22</f>
        <v>0</v>
      </c>
      <c r="M25" s="757"/>
      <c r="N25" s="757"/>
      <c r="O25" s="757"/>
      <c r="P25" s="617" t="str">
        <f t="shared" si="0"/>
        <v> </v>
      </c>
      <c r="Q25" s="618"/>
      <c r="R25" s="761">
        <f>L25-G25</f>
        <v>0</v>
      </c>
      <c r="S25" s="762"/>
      <c r="T25" s="763"/>
    </row>
    <row r="33" spans="1:18" ht="12.75">
      <c r="A33" s="101" t="s">
        <v>15</v>
      </c>
      <c r="B33" s="101"/>
      <c r="C33" s="106" t="str">
        <f>Fedőlap!C44</f>
        <v>Budapest, 2013. április 16.</v>
      </c>
      <c r="D33" s="106"/>
      <c r="E33" s="106"/>
      <c r="F33" s="106"/>
      <c r="G33" s="106"/>
      <c r="H33" s="107"/>
      <c r="I33" s="101"/>
      <c r="J33" s="101"/>
      <c r="K33" s="108"/>
      <c r="L33" s="108"/>
      <c r="M33" s="108"/>
      <c r="N33" s="108"/>
      <c r="O33" s="108"/>
      <c r="P33" s="108"/>
      <c r="Q33" s="108"/>
      <c r="R33" s="108"/>
    </row>
    <row r="34" spans="1:18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9" t="str">
        <f>Fedőlap!L45</f>
        <v>a szervezet vezetője</v>
      </c>
      <c r="L34" s="109"/>
      <c r="M34" s="109"/>
      <c r="N34" s="109"/>
      <c r="O34" s="109"/>
      <c r="P34" s="109"/>
      <c r="Q34" s="109"/>
      <c r="R34" s="109"/>
    </row>
    <row r="35" spans="1:18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9" t="str">
        <f>Fedőlap!L46</f>
        <v>(képviselője)</v>
      </c>
      <c r="L35" s="109"/>
      <c r="M35" s="109"/>
      <c r="N35" s="109"/>
      <c r="O35" s="109"/>
      <c r="P35" s="109"/>
      <c r="Q35" s="109"/>
      <c r="R35" s="109"/>
    </row>
    <row r="36" spans="1:18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ht="15">
      <c r="A37" s="1"/>
      <c r="B37" s="1"/>
      <c r="C37" s="1"/>
      <c r="D37" s="1"/>
      <c r="E37" s="1"/>
      <c r="F37" s="1"/>
      <c r="G37" s="1"/>
      <c r="H37" s="1"/>
      <c r="I37" s="64" t="s">
        <v>20</v>
      </c>
      <c r="J37" s="1"/>
      <c r="K37" s="1"/>
      <c r="L37" s="1"/>
      <c r="M37" s="1"/>
      <c r="N37" s="1"/>
      <c r="O37" s="1"/>
      <c r="P37" s="1"/>
      <c r="Q37" s="1"/>
      <c r="R37" s="1"/>
    </row>
    <row r="40" ht="12.75">
      <c r="H40" t="str">
        <f>Fedőlap!K51</f>
        <v>„A közzétett adatok könyvvizsgálattal nincsenek alátámasztva”</v>
      </c>
    </row>
  </sheetData>
  <sheetProtection/>
  <mergeCells count="89">
    <mergeCell ref="R16:T16"/>
    <mergeCell ref="R19:T19"/>
    <mergeCell ref="P16:Q16"/>
    <mergeCell ref="P11:Q11"/>
    <mergeCell ref="R11:T11"/>
    <mergeCell ref="P12:Q12"/>
    <mergeCell ref="R12:T12"/>
    <mergeCell ref="R22:T22"/>
    <mergeCell ref="R14:T14"/>
    <mergeCell ref="R15:T15"/>
    <mergeCell ref="L25:O25"/>
    <mergeCell ref="P19:Q19"/>
    <mergeCell ref="P22:Q22"/>
    <mergeCell ref="P25:Q25"/>
    <mergeCell ref="P14:Q14"/>
    <mergeCell ref="R25:T25"/>
    <mergeCell ref="P15:Q15"/>
    <mergeCell ref="A22:F22"/>
    <mergeCell ref="A25:F25"/>
    <mergeCell ref="L19:O19"/>
    <mergeCell ref="G22:K22"/>
    <mergeCell ref="G25:K25"/>
    <mergeCell ref="A20:F20"/>
    <mergeCell ref="G20:K20"/>
    <mergeCell ref="L20:O20"/>
    <mergeCell ref="A23:F23"/>
    <mergeCell ref="A19:F19"/>
    <mergeCell ref="A8:F8"/>
    <mergeCell ref="A9:F9"/>
    <mergeCell ref="A10:F10"/>
    <mergeCell ref="A13:F13"/>
    <mergeCell ref="A12:F12"/>
    <mergeCell ref="R20:T20"/>
    <mergeCell ref="A17:F17"/>
    <mergeCell ref="A14:F14"/>
    <mergeCell ref="G9:K9"/>
    <mergeCell ref="A15:F15"/>
    <mergeCell ref="A16:F16"/>
    <mergeCell ref="L16:O16"/>
    <mergeCell ref="L13:O13"/>
    <mergeCell ref="L9:O9"/>
    <mergeCell ref="G13:K13"/>
    <mergeCell ref="L22:O22"/>
    <mergeCell ref="L14:O14"/>
    <mergeCell ref="L15:O15"/>
    <mergeCell ref="P10:Q10"/>
    <mergeCell ref="P13:Q13"/>
    <mergeCell ref="L11:O11"/>
    <mergeCell ref="G15:K15"/>
    <mergeCell ref="P8:T8"/>
    <mergeCell ref="P9:Q9"/>
    <mergeCell ref="R9:T9"/>
    <mergeCell ref="G8:O8"/>
    <mergeCell ref="R10:T10"/>
    <mergeCell ref="R13:T13"/>
    <mergeCell ref="A18:F18"/>
    <mergeCell ref="G18:K18"/>
    <mergeCell ref="L18:O18"/>
    <mergeCell ref="P18:Q18"/>
    <mergeCell ref="P21:Q21"/>
    <mergeCell ref="G12:K12"/>
    <mergeCell ref="L12:O12"/>
    <mergeCell ref="R17:T17"/>
    <mergeCell ref="R18:T18"/>
    <mergeCell ref="G17:K17"/>
    <mergeCell ref="L17:O17"/>
    <mergeCell ref="G19:K19"/>
    <mergeCell ref="G16:K16"/>
    <mergeCell ref="G14:K14"/>
    <mergeCell ref="R21:T21"/>
    <mergeCell ref="R23:T23"/>
    <mergeCell ref="A24:F24"/>
    <mergeCell ref="G24:K24"/>
    <mergeCell ref="L24:O24"/>
    <mergeCell ref="P24:Q24"/>
    <mergeCell ref="R24:T24"/>
    <mergeCell ref="A21:F21"/>
    <mergeCell ref="G21:K21"/>
    <mergeCell ref="L21:O21"/>
    <mergeCell ref="A6:L6"/>
    <mergeCell ref="G23:K23"/>
    <mergeCell ref="L23:O23"/>
    <mergeCell ref="P23:Q23"/>
    <mergeCell ref="P20:Q20"/>
    <mergeCell ref="P17:Q17"/>
    <mergeCell ref="L10:O10"/>
    <mergeCell ref="G10:K10"/>
    <mergeCell ref="A11:F11"/>
    <mergeCell ref="G11:K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B13" sqref="B13:C13"/>
    </sheetView>
  </sheetViews>
  <sheetFormatPr defaultColWidth="9.00390625" defaultRowHeight="12.75"/>
  <cols>
    <col min="1" max="1" width="54.00390625" style="0" customWidth="1"/>
    <col min="2" max="2" width="17.875" style="0" customWidth="1"/>
    <col min="3" max="3" width="25.75390625" style="0" customWidth="1"/>
  </cols>
  <sheetData>
    <row r="1" spans="1:4" ht="18">
      <c r="A1" s="764" t="s">
        <v>229</v>
      </c>
      <c r="B1" s="764"/>
      <c r="C1" s="764"/>
      <c r="D1" s="310"/>
    </row>
    <row r="2" spans="1:4" ht="9" customHeight="1" thickBot="1">
      <c r="A2" s="765"/>
      <c r="B2" s="765"/>
      <c r="C2" s="765"/>
      <c r="D2" s="310"/>
    </row>
    <row r="3" spans="1:4" ht="12.75">
      <c r="A3" s="766" t="s">
        <v>230</v>
      </c>
      <c r="B3" s="767"/>
      <c r="C3" s="768"/>
      <c r="D3" s="310"/>
    </row>
    <row r="4" spans="1:4" ht="12.75">
      <c r="A4" s="769" t="str">
        <f>CONCATENATE("név: ",Fedőlap!B9)</f>
        <v>név: Budapesti Tájfutók Szövetsége</v>
      </c>
      <c r="B4" s="770"/>
      <c r="C4" s="771"/>
      <c r="D4" s="310"/>
    </row>
    <row r="5" spans="1:4" ht="12.75">
      <c r="A5" s="769" t="str">
        <f>CONCATENATE("székhely: ",Fedőlap!B13)</f>
        <v>székhely: 1053 Budapest, Curia u. 3.</v>
      </c>
      <c r="B5" s="770" t="s">
        <v>17</v>
      </c>
      <c r="C5" s="771" t="s">
        <v>17</v>
      </c>
      <c r="D5" s="310"/>
    </row>
    <row r="6" spans="1:4" ht="12.75">
      <c r="A6" s="769" t="str">
        <f>CONCATENATE("bejegyző határozat száma: ",Fedőlap!F4)</f>
        <v>bejegyző határozat száma: Pk.61670/1990</v>
      </c>
      <c r="B6" s="770" t="s">
        <v>17</v>
      </c>
      <c r="C6" s="771" t="s">
        <v>17</v>
      </c>
      <c r="D6" s="310"/>
    </row>
    <row r="7" spans="1:4" ht="12.75">
      <c r="A7" s="769" t="str">
        <f>CONCATENATE("nyilvántartási szám: ",Fedőlap!E3)</f>
        <v>nyilvántartási szám: 1565</v>
      </c>
      <c r="B7" s="770" t="s">
        <v>17</v>
      </c>
      <c r="C7" s="771" t="s">
        <v>17</v>
      </c>
      <c r="D7" s="310"/>
    </row>
    <row r="8" spans="1:4" ht="12.75">
      <c r="A8" s="769" t="str">
        <f>CONCATENATE("képviselő neve: ",Adatlap!D7)</f>
        <v>képviselő neve: Bugár József</v>
      </c>
      <c r="B8" s="770" t="s">
        <v>17</v>
      </c>
      <c r="C8" s="771" t="s">
        <v>17</v>
      </c>
      <c r="D8" s="310"/>
    </row>
    <row r="9" spans="1:4" ht="12.75">
      <c r="A9" s="772" t="s">
        <v>231</v>
      </c>
      <c r="B9" s="773"/>
      <c r="C9" s="774"/>
      <c r="D9" s="310"/>
    </row>
    <row r="10" spans="1:4" ht="27.75" customHeight="1">
      <c r="A10" s="775" t="str">
        <f>'Közhasznú tevékenység'!A9</f>
        <v>A tájfutó sport budapesti versenyrendszerének szervezése, működtetése, irányítása és koordinálása. Tájfutó térképek és felszerelések árusítása.</v>
      </c>
      <c r="B10" s="776"/>
      <c r="C10" s="777"/>
      <c r="D10" s="310"/>
    </row>
    <row r="11" spans="1:4" ht="12.75">
      <c r="A11" s="772" t="s">
        <v>232</v>
      </c>
      <c r="B11" s="773"/>
      <c r="C11" s="774"/>
      <c r="D11" s="310"/>
    </row>
    <row r="12" spans="1:4" ht="25.5">
      <c r="A12" s="311" t="s">
        <v>233</v>
      </c>
      <c r="B12" s="778" t="str">
        <f>'Közhasznú tevékenység'!J11</f>
        <v>Sporttörvény (2004. évi I. törvény) 49. § a, c, e, f pontok</v>
      </c>
      <c r="C12" s="779"/>
      <c r="D12" s="310"/>
    </row>
    <row r="13" spans="1:4" ht="26.25" customHeight="1">
      <c r="A13" s="311" t="s">
        <v>533</v>
      </c>
      <c r="B13" s="778" t="str">
        <f>'Közhasznú tevékenység'!J12</f>
        <v>az esélyegyenlőség jegyében mindenki, de főként a 8-85 éves nők és férfiak</v>
      </c>
      <c r="C13" s="779" t="s">
        <v>17</v>
      </c>
      <c r="D13" s="310"/>
    </row>
    <row r="14" spans="1:4" ht="12.75">
      <c r="A14" s="311" t="s">
        <v>235</v>
      </c>
      <c r="B14" s="778" t="str">
        <f>'Közhasznú tevékenység'!J13</f>
        <v>kb. 10 ezer fő</v>
      </c>
      <c r="C14" s="779" t="s">
        <v>17</v>
      </c>
      <c r="D14" s="310"/>
    </row>
    <row r="15" spans="1:4" ht="26.25" customHeight="1">
      <c r="A15" s="311" t="s">
        <v>532</v>
      </c>
      <c r="B15" s="778" t="str">
        <f>'Közhasznú tevékenység'!J14</f>
        <v>az egészséges életmód és a szabadidősport népszerűsítése a tájékozódási futáson keresztül</v>
      </c>
      <c r="C15" s="779" t="s">
        <v>17</v>
      </c>
      <c r="D15" s="310"/>
    </row>
    <row r="16" spans="1:4" ht="12.75">
      <c r="A16" s="772" t="s">
        <v>351</v>
      </c>
      <c r="B16" s="773"/>
      <c r="C16" s="774"/>
      <c r="D16" s="310"/>
    </row>
    <row r="17" spans="1:4" ht="12.75">
      <c r="A17" s="312" t="s">
        <v>237</v>
      </c>
      <c r="B17" s="313" t="s">
        <v>238</v>
      </c>
      <c r="C17" s="314" t="s">
        <v>239</v>
      </c>
      <c r="D17" s="310"/>
    </row>
    <row r="18" spans="1:4" ht="12.75">
      <c r="A18" s="311" t="s">
        <v>526</v>
      </c>
      <c r="B18" s="376">
        <f>Eredménykimutatás!Y14</f>
        <v>1504</v>
      </c>
      <c r="C18" s="316" t="s">
        <v>349</v>
      </c>
      <c r="D18" s="310"/>
    </row>
    <row r="19" spans="1:4" ht="12.75">
      <c r="A19" s="311" t="s">
        <v>225</v>
      </c>
      <c r="B19" s="376">
        <f>Eredménykimutatás!Y12-Eredménykimutatás!Y14</f>
        <v>52</v>
      </c>
      <c r="C19" s="316" t="s">
        <v>349</v>
      </c>
      <c r="D19" s="310"/>
    </row>
    <row r="20" spans="1:4" ht="12.75">
      <c r="A20" s="311" t="s">
        <v>223</v>
      </c>
      <c r="B20" s="376">
        <f>Eredménykimutatás!Y10</f>
        <v>2139</v>
      </c>
      <c r="C20" s="316" t="s">
        <v>349</v>
      </c>
      <c r="D20" s="310"/>
    </row>
    <row r="21" spans="1:4" ht="12.75">
      <c r="A21" s="311" t="s">
        <v>527</v>
      </c>
      <c r="B21" s="376">
        <f>-Eredménykimutatás!Y34</f>
        <v>1284</v>
      </c>
      <c r="C21" s="316" t="s">
        <v>349</v>
      </c>
      <c r="D21" s="310"/>
    </row>
    <row r="22" spans="1:4" ht="12.75">
      <c r="A22" s="311" t="s">
        <v>88</v>
      </c>
      <c r="B22" s="376">
        <f>SUM(B18:B21)</f>
        <v>4979</v>
      </c>
      <c r="C22" s="316"/>
      <c r="D22" s="310"/>
    </row>
    <row r="23" spans="1:4" ht="12.75">
      <c r="A23" s="772" t="s">
        <v>352</v>
      </c>
      <c r="B23" s="773"/>
      <c r="C23" s="774"/>
      <c r="D23" s="310"/>
    </row>
    <row r="24" spans="1:4" ht="12.75">
      <c r="A24" s="312" t="s">
        <v>240</v>
      </c>
      <c r="B24" s="313" t="s">
        <v>241</v>
      </c>
      <c r="C24" s="314" t="s">
        <v>242</v>
      </c>
      <c r="D24" s="310"/>
    </row>
    <row r="25" spans="1:4" ht="12.75">
      <c r="A25" s="394"/>
      <c r="B25" s="393"/>
      <c r="C25" s="395"/>
      <c r="D25" s="310"/>
    </row>
    <row r="26" spans="1:4" ht="12.75">
      <c r="A26" s="394"/>
      <c r="B26" s="393"/>
      <c r="C26" s="395"/>
      <c r="D26" s="310"/>
    </row>
    <row r="27" spans="1:4" ht="12.75">
      <c r="A27" s="394"/>
      <c r="B27" s="393"/>
      <c r="C27" s="395"/>
      <c r="D27" s="310"/>
    </row>
    <row r="28" spans="1:4" ht="12.75">
      <c r="A28" s="394" t="s">
        <v>88</v>
      </c>
      <c r="B28" s="393">
        <f>SUM(B25:B27)</f>
        <v>0</v>
      </c>
      <c r="C28" s="395">
        <f>SUM(C25:C27)</f>
        <v>0</v>
      </c>
      <c r="D28" s="310"/>
    </row>
    <row r="29" spans="1:4" ht="12.75">
      <c r="A29" s="772" t="s">
        <v>353</v>
      </c>
      <c r="B29" s="773"/>
      <c r="C29" s="774"/>
      <c r="D29" s="310"/>
    </row>
    <row r="30" spans="1:4" ht="12.75">
      <c r="A30" s="312" t="s">
        <v>243</v>
      </c>
      <c r="B30" s="313" t="s">
        <v>244</v>
      </c>
      <c r="C30" s="314" t="s">
        <v>245</v>
      </c>
      <c r="D30" s="310"/>
    </row>
    <row r="31" spans="1:4" ht="12.75">
      <c r="A31" s="311" t="s">
        <v>17</v>
      </c>
      <c r="B31" s="315" t="s">
        <v>17</v>
      </c>
      <c r="C31" s="316" t="s">
        <v>17</v>
      </c>
      <c r="D31" s="310"/>
    </row>
    <row r="32" spans="1:4" ht="12.75">
      <c r="A32" s="311" t="s">
        <v>17</v>
      </c>
      <c r="B32" s="315" t="s">
        <v>17</v>
      </c>
      <c r="C32" s="316" t="s">
        <v>17</v>
      </c>
      <c r="D32" s="310"/>
    </row>
    <row r="33" spans="1:4" ht="12.75">
      <c r="A33" s="311" t="s">
        <v>246</v>
      </c>
      <c r="B33" s="315">
        <f>SUM(B31:B32)</f>
        <v>0</v>
      </c>
      <c r="C33" s="316">
        <f>SUM(C31:C32)</f>
        <v>0</v>
      </c>
      <c r="D33" s="310"/>
    </row>
    <row r="34" spans="1:4" ht="12.75">
      <c r="A34" s="772" t="s">
        <v>354</v>
      </c>
      <c r="B34" s="773"/>
      <c r="C34" s="774"/>
      <c r="D34" s="310"/>
    </row>
    <row r="35" spans="1:4" ht="12.75">
      <c r="A35" s="311" t="s">
        <v>247</v>
      </c>
      <c r="B35" s="313" t="s">
        <v>244</v>
      </c>
      <c r="C35" s="314" t="s">
        <v>245</v>
      </c>
      <c r="D35" s="310"/>
    </row>
    <row r="36" spans="1:4" ht="12.75">
      <c r="A36" s="311" t="s">
        <v>248</v>
      </c>
      <c r="B36" s="376">
        <f>ÉVEK2011TŐL!D16+ÉVEK2011TŐL!D55</f>
        <v>8118</v>
      </c>
      <c r="C36" s="377">
        <f>ÉVEK2011TŐL!E16+ÉVEK2011TŐL!E55</f>
        <v>3695</v>
      </c>
      <c r="D36" s="310"/>
    </row>
    <row r="37" spans="1:4" ht="12.75">
      <c r="A37" s="782" t="s">
        <v>249</v>
      </c>
      <c r="B37" s="783"/>
      <c r="C37" s="784"/>
      <c r="D37" s="310"/>
    </row>
    <row r="38" spans="1:4" ht="38.25">
      <c r="A38" s="311" t="s">
        <v>250</v>
      </c>
      <c r="B38" s="315">
        <f>'Közhasznú tevékenység'!N29</f>
        <v>187</v>
      </c>
      <c r="C38" s="316">
        <f>'Közhasznú tevékenység'!Q29</f>
        <v>179</v>
      </c>
      <c r="D38" s="310"/>
    </row>
    <row r="39" spans="1:4" ht="12.75">
      <c r="A39" s="311" t="s">
        <v>251</v>
      </c>
      <c r="B39" s="315">
        <f>ÉVEK2011TŐL!D39+ÉVEK2011TŐL!D78</f>
        <v>0</v>
      </c>
      <c r="C39" s="316">
        <f>ÉVEK2011TŐL!E39+ÉVEK2011TŐL!E78</f>
        <v>0</v>
      </c>
      <c r="D39" s="310"/>
    </row>
    <row r="40" spans="1:4" ht="12.75">
      <c r="A40" s="311" t="s">
        <v>252</v>
      </c>
      <c r="B40" s="315">
        <f>ÉVEK2011TŐL!D37+ÉVEK2011TŐL!D76</f>
        <v>0</v>
      </c>
      <c r="C40" s="316">
        <f>ÉVEK2011TŐL!E37+ÉVEK2011TŐL!E76</f>
        <v>0</v>
      </c>
      <c r="D40" s="310"/>
    </row>
    <row r="41" spans="1:4" ht="25.5">
      <c r="A41" s="311" t="s">
        <v>253</v>
      </c>
      <c r="B41" s="315">
        <f>ÉVEK2011TŐL!D36+ÉVEK2011TŐL!D75</f>
        <v>0</v>
      </c>
      <c r="C41" s="316">
        <f>ÉVEK2011TŐL!E36+ÉVEK2011TŐL!E75</f>
        <v>0</v>
      </c>
      <c r="D41" s="310"/>
    </row>
    <row r="42" spans="1:4" ht="12.75">
      <c r="A42" s="311" t="s">
        <v>254</v>
      </c>
      <c r="B42" s="376">
        <f>B36-(B38+B39+B40+B41)</f>
        <v>7931</v>
      </c>
      <c r="C42" s="377">
        <f>C36-(C38+C39+C40+C41)</f>
        <v>3516</v>
      </c>
      <c r="D42" s="310"/>
    </row>
    <row r="43" spans="1:4" ht="12.75">
      <c r="A43" s="311" t="s">
        <v>255</v>
      </c>
      <c r="B43" s="376">
        <f>ÉVEK2011TŐL!D25+ÉVEK2011TŐL!D64</f>
        <v>8796</v>
      </c>
      <c r="C43" s="377">
        <f>ÉVEK2011TŐL!E25+ÉVEK2011TŐL!E64</f>
        <v>4979</v>
      </c>
      <c r="D43" s="310"/>
    </row>
    <row r="44" spans="1:4" ht="12.75">
      <c r="A44" s="311" t="s">
        <v>256</v>
      </c>
      <c r="B44" s="376">
        <f>ÉVEK2011TŐL!D19+ÉVEK2011TŐL!D58</f>
        <v>1795</v>
      </c>
      <c r="C44" s="377">
        <f>ÉVEK2011TŐL!E19+ÉVEK2011TŐL!E58</f>
        <v>192</v>
      </c>
      <c r="D44" s="310"/>
    </row>
    <row r="45" spans="1:4" ht="12.75">
      <c r="A45" s="311" t="s">
        <v>257</v>
      </c>
      <c r="B45" s="376">
        <f>ÉVEK2011TŐL!D26+ÉVEK2011TŐL!D65</f>
        <v>8796</v>
      </c>
      <c r="C45" s="377">
        <f>ÉVEK2011TŐL!E26+ÉVEK2011TŐL!E65</f>
        <v>4979</v>
      </c>
      <c r="D45" s="310"/>
    </row>
    <row r="46" spans="1:4" ht="12.75">
      <c r="A46" s="311" t="s">
        <v>258</v>
      </c>
      <c r="B46" s="376">
        <f>ÉVEK2011TŐL!D29+ÉVEK2011TŐL!D68</f>
        <v>-678</v>
      </c>
      <c r="C46" s="377">
        <f>ÉVEK2011TŐL!E29+ÉVEK2011TŐL!E68</f>
        <v>-1284</v>
      </c>
      <c r="D46" s="310"/>
    </row>
    <row r="47" spans="1:4" ht="39" customHeight="1">
      <c r="A47" s="320" t="s">
        <v>268</v>
      </c>
      <c r="B47" s="396">
        <v>14</v>
      </c>
      <c r="C47" s="397">
        <v>15</v>
      </c>
      <c r="D47" s="310"/>
    </row>
    <row r="48" spans="1:4" ht="12.75">
      <c r="A48" s="311" t="s">
        <v>259</v>
      </c>
      <c r="B48" s="780" t="s">
        <v>260</v>
      </c>
      <c r="C48" s="781"/>
      <c r="D48" s="310"/>
    </row>
    <row r="49" spans="1:5" ht="12.75">
      <c r="A49" s="311" t="s">
        <v>261</v>
      </c>
      <c r="B49" s="313" t="str">
        <f>IF((B36+C36)/2&gt;1000,"Igen"," ")</f>
        <v>Igen</v>
      </c>
      <c r="C49" s="314" t="str">
        <f>IF((B36+C36)/2&gt;1000," ","Nem")</f>
        <v> </v>
      </c>
      <c r="D49" s="310"/>
      <c r="E49" t="str">
        <f>IF((B36+C36)/2&gt;1000000,"Igen"," ")</f>
        <v> </v>
      </c>
    </row>
    <row r="50" spans="1:4" ht="12.75">
      <c r="A50" s="311" t="s">
        <v>262</v>
      </c>
      <c r="B50" s="313">
        <f>IF(B46+C46&gt;=0,"Igen","")</f>
      </c>
      <c r="C50" s="314" t="str">
        <f>IF(B46+C46&gt;=0,"","Nem")</f>
        <v>Nem</v>
      </c>
      <c r="D50" s="310"/>
    </row>
    <row r="51" spans="1:4" ht="12.75">
      <c r="A51" s="311" t="s">
        <v>263</v>
      </c>
      <c r="B51" s="313">
        <f>IF((B43+C43)=0,"",IF(((B44+C44-B33-C33)/(B43+C43))&gt;=0.25,"Igen",""))</f>
      </c>
      <c r="C51" s="314" t="str">
        <f>IF((B43+C43)=0,"",IF(((B44+C44-B33-C33)/(B43+C43))&gt;=0.25,"","Nem"))</f>
        <v>Nem</v>
      </c>
      <c r="D51" s="310"/>
    </row>
    <row r="52" spans="1:4" ht="12.75">
      <c r="A52" s="311" t="s">
        <v>264</v>
      </c>
      <c r="B52" s="780" t="s">
        <v>260</v>
      </c>
      <c r="C52" s="781" t="s">
        <v>17</v>
      </c>
      <c r="D52" s="310"/>
    </row>
    <row r="53" spans="1:4" ht="12.75">
      <c r="A53" s="311" t="s">
        <v>265</v>
      </c>
      <c r="B53" s="313" t="str">
        <f>IF((B42+C42)=0,"",IF(((B38+C38)/(B42+C42))&gt;=0.02,"Igen",""))</f>
        <v>Igen</v>
      </c>
      <c r="C53" s="314">
        <f>IF((B42+C42)=0,"",IF(((B38+C38)/(B42+C42))&gt;=0.02,"","Nem"))</f>
      </c>
      <c r="D53" s="310"/>
    </row>
    <row r="54" spans="1:4" ht="12.75">
      <c r="A54" s="311" t="s">
        <v>266</v>
      </c>
      <c r="B54" s="313" t="str">
        <f>IF((B43+C43)=0,"",IF(((B45+C45)/(B43+C43))&gt;=0.5,"Igen",""))</f>
        <v>Igen</v>
      </c>
      <c r="C54" s="314">
        <f>IF((B43+C43)=0,"",IF(((B45+C45)/(B43+C43))&gt;=0.5,"","Nem"))</f>
      </c>
      <c r="D54" s="310"/>
    </row>
    <row r="55" spans="1:4" ht="13.5" thickBot="1">
      <c r="A55" s="317" t="s">
        <v>267</v>
      </c>
      <c r="B55" s="318" t="str">
        <f>IF((B47+C47)/2&gt;=10,"Igen"," ")</f>
        <v>Igen</v>
      </c>
      <c r="C55" s="319" t="str">
        <f>IF((B47+C47)/2&gt;=10," ","Nem")</f>
        <v> </v>
      </c>
      <c r="D55" s="310"/>
    </row>
    <row r="57" ht="12.75">
      <c r="B57" s="155" t="str">
        <f>Fedőlap!K51</f>
        <v>„A közzétett adatok könyvvizsgálattal nincsenek alátámasztva”</v>
      </c>
    </row>
  </sheetData>
  <sheetProtection/>
  <mergeCells count="22">
    <mergeCell ref="A23:C23"/>
    <mergeCell ref="A29:C29"/>
    <mergeCell ref="B13:C13"/>
    <mergeCell ref="B14:C14"/>
    <mergeCell ref="B15:C15"/>
    <mergeCell ref="A16:C16"/>
    <mergeCell ref="A34:C34"/>
    <mergeCell ref="B48:C48"/>
    <mergeCell ref="B52:C52"/>
    <mergeCell ref="A37:C37"/>
    <mergeCell ref="A9:C9"/>
    <mergeCell ref="A10:C10"/>
    <mergeCell ref="A11:C11"/>
    <mergeCell ref="B12:C12"/>
    <mergeCell ref="A5:C5"/>
    <mergeCell ref="A6:C6"/>
    <mergeCell ref="A7:C7"/>
    <mergeCell ref="A8:C8"/>
    <mergeCell ref="A1:C1"/>
    <mergeCell ref="A2:C2"/>
    <mergeCell ref="A3:C3"/>
    <mergeCell ref="A4:C4"/>
  </mergeCells>
  <printOptions horizontalCentered="1"/>
  <pageMargins left="0.31496062992125984" right="0.31496062992125984" top="0.33" bottom="0.24" header="0.31496062992125984" footer="0.25"/>
  <pageSetup horizontalDpi="600" verticalDpi="600" orientation="portrait" paperSize="9" scale="91" r:id="rId1"/>
  <rowBreaks count="1" manualBreakCount="1">
    <brk id="57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4" width="9.125" style="137" customWidth="1"/>
    <col min="5" max="5" width="8.75390625" style="137" customWidth="1"/>
    <col min="6" max="7" width="15.75390625" style="137" customWidth="1"/>
    <col min="8" max="8" width="12.75390625" style="137" customWidth="1"/>
    <col min="9" max="16384" width="9.125" style="137" customWidth="1"/>
  </cols>
  <sheetData>
    <row r="1" ht="13.5" thickBot="1"/>
    <row r="2" spans="1:8" ht="15.75">
      <c r="A2" s="785" t="str">
        <f>IF(H2=TRUE,"OK!","HIBA!!!")</f>
        <v>OK!</v>
      </c>
      <c r="B2" s="785"/>
      <c r="C2" s="785"/>
      <c r="E2" s="786" t="s">
        <v>148</v>
      </c>
      <c r="F2" s="787"/>
      <c r="G2" s="788"/>
      <c r="H2" s="789" t="b">
        <f>AND((F6="OK")*(G6="OK"))</f>
        <v>1</v>
      </c>
    </row>
    <row r="3" spans="1:8" ht="12.75">
      <c r="A3" s="785"/>
      <c r="B3" s="785"/>
      <c r="C3" s="785"/>
      <c r="E3" s="138" t="s">
        <v>149</v>
      </c>
      <c r="F3" s="139" t="s">
        <v>19</v>
      </c>
      <c r="G3" s="140" t="s">
        <v>22</v>
      </c>
      <c r="H3" s="790"/>
    </row>
    <row r="4" spans="1:8" ht="12.75">
      <c r="A4" s="785"/>
      <c r="B4" s="785"/>
      <c r="C4" s="785"/>
      <c r="E4" s="141" t="s">
        <v>150</v>
      </c>
      <c r="F4" s="142">
        <f>ROUND(Mérlegoldalak!O20,0)</f>
        <v>2027</v>
      </c>
      <c r="G4" s="142">
        <f>ROUND(Mérlegoldalak!S20,0)</f>
        <v>1300</v>
      </c>
      <c r="H4" s="790"/>
    </row>
    <row r="5" spans="1:8" ht="12.75">
      <c r="A5" s="785"/>
      <c r="B5" s="785"/>
      <c r="C5" s="785"/>
      <c r="E5" s="141" t="s">
        <v>50</v>
      </c>
      <c r="F5" s="142">
        <f>ROUND(Mérlegoldalak!O37,0)</f>
        <v>2027</v>
      </c>
      <c r="G5" s="142">
        <f>ROUND(Mérlegoldalak!S37,0)</f>
        <v>1300</v>
      </c>
      <c r="H5" s="790"/>
    </row>
    <row r="6" spans="1:8" ht="13.5" thickBot="1">
      <c r="A6" s="785"/>
      <c r="B6" s="785"/>
      <c r="C6" s="785"/>
      <c r="E6" s="143"/>
      <c r="F6" s="144" t="str">
        <f>IF(F4=F5,"OK","HIBA")</f>
        <v>OK</v>
      </c>
      <c r="G6" s="144" t="str">
        <f>IF(G4=G5,"OK","HIBA")</f>
        <v>OK</v>
      </c>
      <c r="H6" s="791"/>
    </row>
    <row r="7" spans="1:8" ht="12.75">
      <c r="A7" s="785"/>
      <c r="B7" s="785"/>
      <c r="C7" s="785"/>
      <c r="E7" s="145"/>
      <c r="F7" s="145"/>
      <c r="G7" s="145"/>
      <c r="H7" s="145"/>
    </row>
    <row r="8" spans="1:8" ht="15.75">
      <c r="A8" s="785"/>
      <c r="B8" s="785"/>
      <c r="C8" s="785"/>
      <c r="E8" s="146"/>
      <c r="F8" s="146"/>
      <c r="G8" s="146"/>
      <c r="H8" s="147"/>
    </row>
    <row r="9" spans="1:8" ht="12.75">
      <c r="A9" s="785"/>
      <c r="B9" s="785"/>
      <c r="C9" s="785"/>
      <c r="E9" s="147"/>
      <c r="F9" s="148"/>
      <c r="G9" s="148"/>
      <c r="H9" s="147"/>
    </row>
    <row r="10" spans="1:8" ht="12.75">
      <c r="A10" s="785"/>
      <c r="B10" s="785"/>
      <c r="C10" s="785"/>
      <c r="E10" s="149"/>
      <c r="F10" s="150"/>
      <c r="G10" s="150"/>
      <c r="H10" s="147"/>
    </row>
    <row r="11" spans="1:10" ht="12.75">
      <c r="A11" s="785"/>
      <c r="B11" s="785"/>
      <c r="C11" s="785"/>
      <c r="E11" s="149"/>
      <c r="F11" s="150"/>
      <c r="G11" s="150"/>
      <c r="H11" s="147"/>
      <c r="I11" s="151"/>
      <c r="J11" s="151"/>
    </row>
    <row r="12" spans="1:10" ht="15">
      <c r="A12" s="785"/>
      <c r="B12" s="785"/>
      <c r="C12" s="785"/>
      <c r="E12" s="152"/>
      <c r="F12" s="153"/>
      <c r="G12" s="153"/>
      <c r="H12" s="153"/>
      <c r="I12" s="153"/>
      <c r="J12" s="151"/>
    </row>
    <row r="13" spans="1:10" ht="15">
      <c r="A13" s="785"/>
      <c r="B13" s="785"/>
      <c r="C13" s="785"/>
      <c r="E13" s="152"/>
      <c r="F13" s="153"/>
      <c r="G13" s="153"/>
      <c r="H13" s="153"/>
      <c r="I13" s="153"/>
      <c r="J13" s="151"/>
    </row>
    <row r="14" spans="1:10" ht="15.75">
      <c r="A14" s="785"/>
      <c r="B14" s="785"/>
      <c r="C14" s="785"/>
      <c r="E14" s="146"/>
      <c r="F14" s="146"/>
      <c r="G14" s="146"/>
      <c r="H14" s="147"/>
      <c r="I14" s="151"/>
      <c r="J14" s="151"/>
    </row>
    <row r="15" spans="1:8" ht="12.75">
      <c r="A15" s="785"/>
      <c r="B15" s="785"/>
      <c r="C15" s="785"/>
      <c r="E15" s="147"/>
      <c r="F15" s="148"/>
      <c r="G15" s="148"/>
      <c r="H15" s="147"/>
    </row>
    <row r="16" spans="1:8" ht="12.75">
      <c r="A16" s="785"/>
      <c r="B16" s="785"/>
      <c r="C16" s="785"/>
      <c r="E16" s="149"/>
      <c r="F16" s="154"/>
      <c r="G16" s="154"/>
      <c r="H16" s="147"/>
    </row>
    <row r="17" spans="1:8" ht="12.75">
      <c r="A17" s="785"/>
      <c r="B17" s="785"/>
      <c r="C17" s="785"/>
      <c r="E17" s="149"/>
      <c r="F17" s="154"/>
      <c r="G17" s="154"/>
      <c r="H17" s="147"/>
    </row>
    <row r="18" spans="1:8" ht="12.75">
      <c r="A18" s="785"/>
      <c r="B18" s="785"/>
      <c r="C18" s="785"/>
      <c r="E18" s="152"/>
      <c r="F18" s="149"/>
      <c r="G18" s="149"/>
      <c r="H18" s="147"/>
    </row>
    <row r="19" spans="1:8" ht="12.75">
      <c r="A19" s="785"/>
      <c r="B19" s="785"/>
      <c r="C19" s="785"/>
      <c r="E19" s="152"/>
      <c r="F19" s="152"/>
      <c r="G19" s="152"/>
      <c r="H19" s="152"/>
    </row>
    <row r="20" spans="1:8" ht="15.75">
      <c r="A20" s="785"/>
      <c r="B20" s="785"/>
      <c r="C20" s="785"/>
      <c r="E20" s="146"/>
      <c r="F20" s="146"/>
      <c r="G20" s="146"/>
      <c r="H20" s="147"/>
    </row>
    <row r="21" spans="1:8" ht="12.75">
      <c r="A21" s="785"/>
      <c r="B21" s="785"/>
      <c r="C21" s="785"/>
      <c r="E21" s="147"/>
      <c r="F21" s="148"/>
      <c r="G21" s="148"/>
      <c r="H21" s="147"/>
    </row>
    <row r="22" spans="1:8" ht="12.75">
      <c r="A22" s="785"/>
      <c r="B22" s="785"/>
      <c r="C22" s="785"/>
      <c r="E22" s="149"/>
      <c r="F22" s="150"/>
      <c r="G22" s="150"/>
      <c r="H22" s="147"/>
    </row>
    <row r="23" spans="1:8" ht="12.75">
      <c r="A23" s="785"/>
      <c r="B23" s="785"/>
      <c r="C23" s="785"/>
      <c r="E23" s="149"/>
      <c r="F23" s="150"/>
      <c r="G23" s="150"/>
      <c r="H23" s="147"/>
    </row>
    <row r="24" spans="1:8" ht="12.75">
      <c r="A24" s="785"/>
      <c r="B24" s="785"/>
      <c r="C24" s="785"/>
      <c r="E24" s="152"/>
      <c r="F24" s="149"/>
      <c r="G24" s="149"/>
      <c r="H24" s="147"/>
    </row>
    <row r="25" spans="1:3" ht="12.75">
      <c r="A25" s="785"/>
      <c r="B25" s="785"/>
      <c r="C25" s="785"/>
    </row>
    <row r="26" spans="1:3" ht="12.75">
      <c r="A26" s="785"/>
      <c r="B26" s="785"/>
      <c r="C26" s="785"/>
    </row>
    <row r="27" spans="1:3" ht="12.75">
      <c r="A27" s="785"/>
      <c r="B27" s="785"/>
      <c r="C27" s="785"/>
    </row>
    <row r="28" spans="1:3" ht="12.75">
      <c r="A28" s="785"/>
      <c r="B28" s="785"/>
      <c r="C28" s="785"/>
    </row>
    <row r="29" spans="1:3" ht="12.75">
      <c r="A29" s="785"/>
      <c r="B29" s="785"/>
      <c r="C29" s="785"/>
    </row>
    <row r="30" spans="1:3" ht="12.75">
      <c r="A30" s="785"/>
      <c r="B30" s="785"/>
      <c r="C30" s="785"/>
    </row>
    <row r="31" spans="1:3" ht="12.75">
      <c r="A31" s="785"/>
      <c r="B31" s="785"/>
      <c r="C31" s="785"/>
    </row>
    <row r="32" spans="1:3" ht="12.75">
      <c r="A32" s="785"/>
      <c r="B32" s="785"/>
      <c r="C32" s="785"/>
    </row>
    <row r="33" spans="1:3" ht="12.75">
      <c r="A33" s="785"/>
      <c r="B33" s="785"/>
      <c r="C33" s="785"/>
    </row>
    <row r="34" spans="1:3" ht="12.75">
      <c r="A34" s="785"/>
      <c r="B34" s="785"/>
      <c r="C34" s="785"/>
    </row>
    <row r="35" spans="1:3" ht="12.75">
      <c r="A35" s="785"/>
      <c r="B35" s="785"/>
      <c r="C35" s="785"/>
    </row>
    <row r="36" spans="1:3" ht="12.75">
      <c r="A36" s="785"/>
      <c r="B36" s="785"/>
      <c r="C36" s="785"/>
    </row>
  </sheetData>
  <sheetProtection/>
  <mergeCells count="3">
    <mergeCell ref="A2:C36"/>
    <mergeCell ref="E2:G2"/>
    <mergeCell ref="H2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0" sqref="N20"/>
    </sheetView>
  </sheetViews>
  <sheetFormatPr defaultColWidth="9.00390625" defaultRowHeight="12.75"/>
  <cols>
    <col min="1" max="1" width="5.25390625" style="384" customWidth="1"/>
    <col min="2" max="2" width="56.125" style="385" customWidth="1"/>
    <col min="3" max="5" width="9.75390625" style="352" customWidth="1"/>
    <col min="6" max="6" width="9.625" style="352" customWidth="1"/>
    <col min="7" max="7" width="9.75390625" style="352" customWidth="1"/>
    <col min="8" max="8" width="3.875" style="352" customWidth="1"/>
    <col min="9" max="9" width="11.75390625" style="352" bestFit="1" customWidth="1"/>
    <col min="10" max="16384" width="9.125" style="352" customWidth="1"/>
  </cols>
  <sheetData>
    <row r="1" spans="1:7" ht="12.75">
      <c r="A1" s="184" t="str">
        <f>Fedőlap!B9</f>
        <v>Budapesti Tájfutók Szövetsége</v>
      </c>
      <c r="B1" s="176"/>
      <c r="C1" s="186"/>
      <c r="D1" s="186"/>
      <c r="E1" s="186"/>
      <c r="F1" s="186"/>
      <c r="G1" s="186"/>
    </row>
    <row r="2" spans="1:7" ht="12.75">
      <c r="A2" s="187" t="s">
        <v>133</v>
      </c>
      <c r="B2" s="188"/>
      <c r="C2" s="186"/>
      <c r="D2" s="186"/>
      <c r="E2" s="186"/>
      <c r="F2" s="186"/>
      <c r="G2" s="186"/>
    </row>
    <row r="3" spans="1:7" ht="15.75">
      <c r="A3" s="189"/>
      <c r="B3" s="190"/>
      <c r="C3" s="378"/>
      <c r="D3" s="378"/>
      <c r="E3" s="378"/>
      <c r="F3" s="378"/>
      <c r="G3" s="378"/>
    </row>
    <row r="4" spans="1:7" ht="17.25" customHeight="1">
      <c r="A4" s="167" t="s">
        <v>134</v>
      </c>
      <c r="B4" s="167" t="s">
        <v>135</v>
      </c>
      <c r="C4" s="191"/>
      <c r="D4" s="191"/>
      <c r="E4" s="191"/>
      <c r="F4" s="191" t="s">
        <v>19</v>
      </c>
      <c r="G4" s="191" t="s">
        <v>136</v>
      </c>
    </row>
    <row r="5" spans="1:9" ht="13.5" thickBot="1">
      <c r="A5" s="192"/>
      <c r="B5" s="193"/>
      <c r="C5" s="194" t="s">
        <v>183</v>
      </c>
      <c r="D5" s="194" t="s">
        <v>184</v>
      </c>
      <c r="E5" s="194" t="s">
        <v>192</v>
      </c>
      <c r="F5" s="194" t="s">
        <v>193</v>
      </c>
      <c r="G5" s="194" t="s">
        <v>194</v>
      </c>
      <c r="I5" s="175" t="s">
        <v>191</v>
      </c>
    </row>
    <row r="6" spans="1:9" ht="13.5" thickBot="1">
      <c r="A6" s="195" t="s">
        <v>157</v>
      </c>
      <c r="B6" s="379" t="s">
        <v>331</v>
      </c>
      <c r="C6" s="196">
        <f>SUM(C7,C12:C15)</f>
        <v>9965</v>
      </c>
      <c r="D6" s="196">
        <f>SUM(D7,D12:D15)</f>
        <v>10973</v>
      </c>
      <c r="E6" s="196">
        <f>SUM(E7,E12:E15)</f>
        <v>9983</v>
      </c>
      <c r="F6" s="196">
        <f>SUM(F7,F12:F15)</f>
        <v>9251</v>
      </c>
      <c r="G6" s="398">
        <f>SUM(G7,G12:G15)</f>
        <v>7858</v>
      </c>
      <c r="I6" s="262">
        <f>SUM(I7,I12:I15)</f>
        <v>0</v>
      </c>
    </row>
    <row r="7" spans="1:9" ht="12.75">
      <c r="A7" s="197" t="s">
        <v>23</v>
      </c>
      <c r="B7" s="198" t="s">
        <v>154</v>
      </c>
      <c r="C7" s="199">
        <f>SUM(C8:C11)</f>
        <v>4262</v>
      </c>
      <c r="D7" s="199">
        <f>SUM(D8:D11)</f>
        <v>3007</v>
      </c>
      <c r="E7" s="408">
        <f>SUM(E8:E11)</f>
        <v>3587</v>
      </c>
      <c r="F7" s="409">
        <f>SUM(F8:F11)</f>
        <v>3086</v>
      </c>
      <c r="G7" s="289">
        <f>SUM(G8:G11)</f>
        <v>2245</v>
      </c>
      <c r="I7" s="263">
        <f>SUM(I8:I11)</f>
        <v>0</v>
      </c>
    </row>
    <row r="8" spans="1:9" ht="12.75">
      <c r="A8" s="200"/>
      <c r="B8" s="201" t="s">
        <v>58</v>
      </c>
      <c r="C8" s="202"/>
      <c r="D8" s="202"/>
      <c r="E8" s="202"/>
      <c r="F8" s="255"/>
      <c r="G8" s="220"/>
      <c r="I8" s="264"/>
    </row>
    <row r="9" spans="1:9" ht="12.75">
      <c r="A9" s="200"/>
      <c r="B9" s="201" t="s">
        <v>119</v>
      </c>
      <c r="C9" s="202">
        <v>812</v>
      </c>
      <c r="D9" s="202"/>
      <c r="E9" s="202"/>
      <c r="F9" s="255"/>
      <c r="G9" s="220"/>
      <c r="I9" s="264"/>
    </row>
    <row r="10" spans="1:9" ht="12.75">
      <c r="A10" s="200"/>
      <c r="B10" s="201" t="s">
        <v>120</v>
      </c>
      <c r="C10" s="202">
        <v>1700</v>
      </c>
      <c r="D10" s="202">
        <v>1700</v>
      </c>
      <c r="E10" s="202">
        <v>1745</v>
      </c>
      <c r="F10" s="255">
        <v>1745</v>
      </c>
      <c r="G10" s="220">
        <v>1000</v>
      </c>
      <c r="I10" s="264"/>
    </row>
    <row r="11" spans="1:9" ht="12.75">
      <c r="A11" s="200"/>
      <c r="B11" s="201" t="s">
        <v>121</v>
      </c>
      <c r="C11" s="202">
        <v>1750</v>
      </c>
      <c r="D11" s="202">
        <v>1307</v>
      </c>
      <c r="E11" s="202">
        <v>1842</v>
      </c>
      <c r="F11" s="255">
        <v>1341</v>
      </c>
      <c r="G11" s="220">
        <v>1245</v>
      </c>
      <c r="I11" s="264"/>
    </row>
    <row r="12" spans="1:9" ht="12.75">
      <c r="A12" s="200" t="s">
        <v>24</v>
      </c>
      <c r="B12" s="203" t="s">
        <v>59</v>
      </c>
      <c r="C12" s="202">
        <v>1912</v>
      </c>
      <c r="D12" s="202">
        <v>2050</v>
      </c>
      <c r="E12" s="202">
        <v>1170</v>
      </c>
      <c r="F12" s="255">
        <v>1500</v>
      </c>
      <c r="G12" s="220">
        <v>458</v>
      </c>
      <c r="I12" s="264"/>
    </row>
    <row r="13" spans="1:9" ht="12.75">
      <c r="A13" s="200" t="s">
        <v>25</v>
      </c>
      <c r="B13" s="203" t="s">
        <v>60</v>
      </c>
      <c r="C13" s="202">
        <v>3782</v>
      </c>
      <c r="D13" s="202">
        <v>5904</v>
      </c>
      <c r="E13" s="202">
        <v>5220</v>
      </c>
      <c r="F13" s="255">
        <v>4654</v>
      </c>
      <c r="G13" s="220">
        <v>5110</v>
      </c>
      <c r="I13" s="264"/>
    </row>
    <row r="14" spans="1:9" ht="12.75">
      <c r="A14" s="200" t="s">
        <v>26</v>
      </c>
      <c r="B14" s="203" t="s">
        <v>61</v>
      </c>
      <c r="C14" s="202"/>
      <c r="D14" s="202"/>
      <c r="E14" s="202"/>
      <c r="F14" s="255"/>
      <c r="G14" s="220"/>
      <c r="I14" s="264"/>
    </row>
    <row r="15" spans="1:9" ht="13.5" thickBot="1">
      <c r="A15" s="204" t="s">
        <v>27</v>
      </c>
      <c r="B15" s="205" t="s">
        <v>62</v>
      </c>
      <c r="C15" s="206">
        <v>9</v>
      </c>
      <c r="D15" s="206">
        <v>12</v>
      </c>
      <c r="E15" s="226">
        <v>6</v>
      </c>
      <c r="F15" s="256">
        <v>11</v>
      </c>
      <c r="G15" s="410">
        <v>45</v>
      </c>
      <c r="I15" s="265"/>
    </row>
    <row r="16" spans="1:9" ht="13.5" thickBot="1">
      <c r="A16" s="195" t="s">
        <v>158</v>
      </c>
      <c r="B16" s="379" t="s">
        <v>155</v>
      </c>
      <c r="C16" s="196">
        <v>540</v>
      </c>
      <c r="D16" s="196">
        <v>20</v>
      </c>
      <c r="E16" s="233">
        <v>175</v>
      </c>
      <c r="F16" s="239">
        <v>877</v>
      </c>
      <c r="G16" s="213">
        <v>260</v>
      </c>
      <c r="I16" s="262"/>
    </row>
    <row r="17" spans="1:9" ht="13.5" thickBot="1">
      <c r="A17" s="195" t="s">
        <v>159</v>
      </c>
      <c r="B17" s="379" t="s">
        <v>156</v>
      </c>
      <c r="C17" s="207">
        <f>C6+C16</f>
        <v>10505</v>
      </c>
      <c r="D17" s="207">
        <f>D6+D16</f>
        <v>10993</v>
      </c>
      <c r="E17" s="234">
        <f>E6+E16</f>
        <v>10158</v>
      </c>
      <c r="F17" s="234">
        <f>F6+F16</f>
        <v>10128</v>
      </c>
      <c r="G17" s="208">
        <f>G6+G16</f>
        <v>8118</v>
      </c>
      <c r="I17" s="266">
        <f>I6+I16</f>
        <v>0</v>
      </c>
    </row>
    <row r="18" spans="1:9" ht="13.5" thickBot="1">
      <c r="A18" s="195" t="s">
        <v>160</v>
      </c>
      <c r="B18" s="379" t="s">
        <v>332</v>
      </c>
      <c r="C18" s="207">
        <f>SUM(C19:C24)</f>
        <v>10850</v>
      </c>
      <c r="D18" s="207">
        <f>SUM(D19:D24)</f>
        <v>11922</v>
      </c>
      <c r="E18" s="235">
        <f>SUM(E19:E24)</f>
        <v>10496</v>
      </c>
      <c r="F18" s="234">
        <f>SUM(F19:F24)</f>
        <v>9079</v>
      </c>
      <c r="G18" s="208">
        <f>SUM(G19:G24)</f>
        <v>8796</v>
      </c>
      <c r="I18" s="266">
        <f>SUM(I19:I24)</f>
        <v>8792544</v>
      </c>
    </row>
    <row r="19" spans="1:9" ht="12.75">
      <c r="A19" s="197" t="s">
        <v>28</v>
      </c>
      <c r="B19" s="380" t="s">
        <v>122</v>
      </c>
      <c r="C19" s="209">
        <v>10714</v>
      </c>
      <c r="D19" s="209">
        <v>11813</v>
      </c>
      <c r="E19" s="399">
        <v>10443</v>
      </c>
      <c r="F19" s="236">
        <v>9026</v>
      </c>
      <c r="G19" s="241">
        <v>6998</v>
      </c>
      <c r="I19" s="267">
        <f>56585+431485+1924220+389805+156600+3684755+160010+68439+77719+48000</f>
        <v>6997618</v>
      </c>
    </row>
    <row r="20" spans="1:9" ht="12.75">
      <c r="A20" s="200" t="s">
        <v>29</v>
      </c>
      <c r="B20" s="381" t="s">
        <v>66</v>
      </c>
      <c r="C20" s="210"/>
      <c r="D20" s="210"/>
      <c r="E20" s="210"/>
      <c r="F20" s="237"/>
      <c r="G20" s="242">
        <v>1795</v>
      </c>
      <c r="I20" s="268">
        <f>470000+127000+392415+685490+33000+27495+59480</f>
        <v>1794880</v>
      </c>
    </row>
    <row r="21" spans="1:9" ht="12.75">
      <c r="A21" s="200" t="s">
        <v>30</v>
      </c>
      <c r="B21" s="381" t="s">
        <v>67</v>
      </c>
      <c r="C21" s="210">
        <v>136</v>
      </c>
      <c r="D21" s="210">
        <v>109</v>
      </c>
      <c r="E21" s="210">
        <v>53</v>
      </c>
      <c r="F21" s="237">
        <v>53</v>
      </c>
      <c r="G21" s="242">
        <v>3</v>
      </c>
      <c r="I21" s="268"/>
    </row>
    <row r="22" spans="1:9" ht="12.75">
      <c r="A22" s="200" t="s">
        <v>31</v>
      </c>
      <c r="B22" s="381" t="s">
        <v>167</v>
      </c>
      <c r="C22" s="210"/>
      <c r="D22" s="210"/>
      <c r="E22" s="210"/>
      <c r="F22" s="237"/>
      <c r="G22" s="242"/>
      <c r="I22" s="268">
        <v>46</v>
      </c>
    </row>
    <row r="23" spans="1:9" ht="12.75">
      <c r="A23" s="200" t="s">
        <v>32</v>
      </c>
      <c r="B23" s="381" t="s">
        <v>123</v>
      </c>
      <c r="C23" s="210"/>
      <c r="D23" s="210"/>
      <c r="E23" s="210"/>
      <c r="F23" s="237"/>
      <c r="G23" s="242"/>
      <c r="I23" s="268"/>
    </row>
    <row r="24" spans="1:9" ht="13.5" thickBot="1">
      <c r="A24" s="204" t="s">
        <v>33</v>
      </c>
      <c r="B24" s="382" t="s">
        <v>124</v>
      </c>
      <c r="C24" s="211"/>
      <c r="D24" s="211"/>
      <c r="E24" s="238"/>
      <c r="F24" s="260"/>
      <c r="G24" s="243"/>
      <c r="I24" s="269"/>
    </row>
    <row r="25" spans="1:9" ht="13.5" thickBot="1">
      <c r="A25" s="195" t="s">
        <v>161</v>
      </c>
      <c r="B25" s="379" t="s">
        <v>333</v>
      </c>
      <c r="C25" s="207">
        <f>SUM(C26:C31)</f>
        <v>5</v>
      </c>
      <c r="D25" s="207">
        <f>SUM(D26:D31)</f>
        <v>1</v>
      </c>
      <c r="E25" s="235">
        <f>SUM(E26:E31)</f>
        <v>1</v>
      </c>
      <c r="F25" s="234">
        <f>SUM(F26:F31)</f>
        <v>1</v>
      </c>
      <c r="G25" s="208">
        <f>SUM(G26:G31)</f>
        <v>0</v>
      </c>
      <c r="I25" s="266">
        <f>SUM(I26:I31)</f>
        <v>0</v>
      </c>
    </row>
    <row r="26" spans="1:9" ht="12.75">
      <c r="A26" s="197" t="s">
        <v>34</v>
      </c>
      <c r="B26" s="380" t="s">
        <v>122</v>
      </c>
      <c r="C26" s="209">
        <v>5</v>
      </c>
      <c r="D26" s="209">
        <v>1</v>
      </c>
      <c r="E26" s="236">
        <v>1</v>
      </c>
      <c r="F26" s="400">
        <v>1</v>
      </c>
      <c r="G26" s="241"/>
      <c r="I26" s="267"/>
    </row>
    <row r="27" spans="1:9" ht="12.75">
      <c r="A27" s="200" t="s">
        <v>35</v>
      </c>
      <c r="B27" s="381" t="s">
        <v>66</v>
      </c>
      <c r="C27" s="210"/>
      <c r="D27" s="210"/>
      <c r="E27" s="237"/>
      <c r="F27" s="259"/>
      <c r="G27" s="242"/>
      <c r="I27" s="268"/>
    </row>
    <row r="28" spans="1:9" ht="12.75">
      <c r="A28" s="200" t="s">
        <v>125</v>
      </c>
      <c r="B28" s="381" t="s">
        <v>67</v>
      </c>
      <c r="C28" s="210"/>
      <c r="D28" s="210"/>
      <c r="E28" s="237"/>
      <c r="F28" s="259"/>
      <c r="G28" s="242"/>
      <c r="I28" s="268"/>
    </row>
    <row r="29" spans="1:9" ht="12.75">
      <c r="A29" s="200" t="s">
        <v>126</v>
      </c>
      <c r="B29" s="381" t="s">
        <v>167</v>
      </c>
      <c r="C29" s="210"/>
      <c r="D29" s="210"/>
      <c r="E29" s="237"/>
      <c r="F29" s="259"/>
      <c r="G29" s="242"/>
      <c r="I29" s="268"/>
    </row>
    <row r="30" spans="1:9" ht="12.75">
      <c r="A30" s="200" t="s">
        <v>51</v>
      </c>
      <c r="B30" s="381" t="s">
        <v>123</v>
      </c>
      <c r="C30" s="210"/>
      <c r="D30" s="210"/>
      <c r="E30" s="237"/>
      <c r="F30" s="259"/>
      <c r="G30" s="242"/>
      <c r="I30" s="268"/>
    </row>
    <row r="31" spans="1:9" ht="13.5" thickBot="1">
      <c r="A31" s="204" t="s">
        <v>52</v>
      </c>
      <c r="B31" s="382" t="s">
        <v>124</v>
      </c>
      <c r="C31" s="211"/>
      <c r="D31" s="211"/>
      <c r="E31" s="238"/>
      <c r="F31" s="260"/>
      <c r="G31" s="243"/>
      <c r="I31" s="269"/>
    </row>
    <row r="32" spans="1:9" ht="13.5" thickBot="1">
      <c r="A32" s="195" t="s">
        <v>162</v>
      </c>
      <c r="B32" s="212" t="s">
        <v>168</v>
      </c>
      <c r="C32" s="196">
        <f>C18+C25</f>
        <v>10855</v>
      </c>
      <c r="D32" s="196">
        <f>D18+D25</f>
        <v>11923</v>
      </c>
      <c r="E32" s="239">
        <f>E18+E25</f>
        <v>10497</v>
      </c>
      <c r="F32" s="239">
        <f>F18+F25</f>
        <v>9080</v>
      </c>
      <c r="G32" s="213">
        <f>G18+G25</f>
        <v>8796</v>
      </c>
      <c r="I32" s="262">
        <f>I18+I25</f>
        <v>8792544</v>
      </c>
    </row>
    <row r="33" spans="1:9" ht="13.5" thickBot="1">
      <c r="A33" s="195" t="s">
        <v>163</v>
      </c>
      <c r="B33" s="212" t="s">
        <v>169</v>
      </c>
      <c r="C33" s="207">
        <f>C16-C25</f>
        <v>535</v>
      </c>
      <c r="D33" s="207">
        <f>D16-D25</f>
        <v>19</v>
      </c>
      <c r="E33" s="235">
        <f>E16-E25</f>
        <v>174</v>
      </c>
      <c r="F33" s="234">
        <f>F16-F25</f>
        <v>876</v>
      </c>
      <c r="G33" s="208">
        <f>G16-G25</f>
        <v>260</v>
      </c>
      <c r="I33" s="266">
        <f>I16-I25</f>
        <v>0</v>
      </c>
    </row>
    <row r="34" spans="1:9" ht="13.5" thickBot="1">
      <c r="A34" s="195" t="s">
        <v>164</v>
      </c>
      <c r="B34" s="212" t="s">
        <v>63</v>
      </c>
      <c r="C34" s="214"/>
      <c r="D34" s="214"/>
      <c r="E34" s="240"/>
      <c r="F34" s="411"/>
      <c r="G34" s="244"/>
      <c r="I34" s="270"/>
    </row>
    <row r="35" spans="1:9" ht="13.5" thickBot="1">
      <c r="A35" s="195" t="s">
        <v>165</v>
      </c>
      <c r="B35" s="212" t="s">
        <v>170</v>
      </c>
      <c r="C35" s="207">
        <f>C33-C34</f>
        <v>535</v>
      </c>
      <c r="D35" s="207">
        <f>D33-D34</f>
        <v>19</v>
      </c>
      <c r="E35" s="235">
        <f>E33-E34</f>
        <v>174</v>
      </c>
      <c r="F35" s="234">
        <f>F33-F34</f>
        <v>876</v>
      </c>
      <c r="G35" s="208">
        <f>G33-G34</f>
        <v>260</v>
      </c>
      <c r="I35" s="266">
        <f>I33-I34</f>
        <v>0</v>
      </c>
    </row>
    <row r="36" spans="1:9" ht="13.5" thickBot="1">
      <c r="A36" s="195" t="s">
        <v>166</v>
      </c>
      <c r="B36" s="212" t="s">
        <v>171</v>
      </c>
      <c r="C36" s="207">
        <f>C6-C18</f>
        <v>-885</v>
      </c>
      <c r="D36" s="207">
        <f>D6-D18</f>
        <v>-949</v>
      </c>
      <c r="E36" s="235">
        <f>E6-E18</f>
        <v>-513</v>
      </c>
      <c r="F36" s="234">
        <f>F6-F18</f>
        <v>172</v>
      </c>
      <c r="G36" s="208">
        <f>G6-G18</f>
        <v>-938</v>
      </c>
      <c r="I36" s="266">
        <f>I6-I18</f>
        <v>-8792544</v>
      </c>
    </row>
    <row r="37" spans="1:7" ht="12.75">
      <c r="A37" s="215"/>
      <c r="B37" s="216"/>
      <c r="C37" s="217"/>
      <c r="D37" s="217"/>
      <c r="E37" s="186"/>
      <c r="F37" s="186"/>
      <c r="G37" s="186"/>
    </row>
    <row r="38" spans="1:7" ht="13.5" thickBot="1">
      <c r="A38" s="218" t="s">
        <v>137</v>
      </c>
      <c r="B38" s="219"/>
      <c r="C38" s="219"/>
      <c r="D38" s="219"/>
      <c r="E38" s="186"/>
      <c r="F38" s="186"/>
      <c r="G38" s="186"/>
    </row>
    <row r="39" spans="1:9" ht="13.5" thickBot="1">
      <c r="A39" s="168" t="s">
        <v>23</v>
      </c>
      <c r="B39" s="169" t="s">
        <v>138</v>
      </c>
      <c r="C39" s="207">
        <f>C40+C41+C42</f>
        <v>58</v>
      </c>
      <c r="D39" s="207">
        <f>D40+D41+D42</f>
        <v>109</v>
      </c>
      <c r="E39" s="234">
        <f>E40+E41+E42</f>
        <v>56</v>
      </c>
      <c r="F39" s="234">
        <f>F40+F41+F42</f>
        <v>3</v>
      </c>
      <c r="G39" s="208">
        <f>G40+G41+G42</f>
        <v>0</v>
      </c>
      <c r="I39" s="266">
        <f>I40+I41+I42</f>
        <v>0</v>
      </c>
    </row>
    <row r="40" spans="1:9" ht="12.75">
      <c r="A40" s="170" t="s">
        <v>24</v>
      </c>
      <c r="B40" s="171" t="s">
        <v>36</v>
      </c>
      <c r="C40" s="202"/>
      <c r="D40" s="202"/>
      <c r="E40" s="245"/>
      <c r="F40" s="245"/>
      <c r="G40" s="220"/>
      <c r="I40" s="264">
        <f>'[6]Főkönyv'!G4</f>
        <v>0</v>
      </c>
    </row>
    <row r="41" spans="1:9" ht="12.75">
      <c r="A41" s="172" t="s">
        <v>25</v>
      </c>
      <c r="B41" s="171" t="s">
        <v>139</v>
      </c>
      <c r="C41" s="202">
        <v>58</v>
      </c>
      <c r="D41" s="202">
        <v>109</v>
      </c>
      <c r="E41" s="245">
        <v>56</v>
      </c>
      <c r="F41" s="245">
        <v>3</v>
      </c>
      <c r="G41" s="220"/>
      <c r="I41" s="264">
        <f>'[6]Főkönyv'!G6</f>
        <v>0</v>
      </c>
    </row>
    <row r="42" spans="1:9" ht="13.5" thickBot="1">
      <c r="A42" s="172" t="s">
        <v>26</v>
      </c>
      <c r="B42" s="171" t="s">
        <v>140</v>
      </c>
      <c r="C42" s="202"/>
      <c r="D42" s="202"/>
      <c r="E42" s="245"/>
      <c r="F42" s="245"/>
      <c r="G42" s="220"/>
      <c r="I42" s="264"/>
    </row>
    <row r="43" spans="1:9" ht="13.5" thickBot="1">
      <c r="A43" s="173" t="s">
        <v>27</v>
      </c>
      <c r="B43" s="169" t="s">
        <v>141</v>
      </c>
      <c r="C43" s="207">
        <f>C44+C45+C46+C47</f>
        <v>2944</v>
      </c>
      <c r="D43" s="207">
        <f>D44+D45+D46+D47</f>
        <v>1834</v>
      </c>
      <c r="E43" s="234">
        <f>E44+E45+E46+E47</f>
        <v>1927</v>
      </c>
      <c r="F43" s="234">
        <f>F44+F45+F46+F47</f>
        <v>3028</v>
      </c>
      <c r="G43" s="208">
        <f>G44+G45+G46+G47</f>
        <v>2027</v>
      </c>
      <c r="I43" s="266">
        <f>I44+I45+I46+I47</f>
        <v>0</v>
      </c>
    </row>
    <row r="44" spans="1:9" ht="12.75">
      <c r="A44" s="172" t="s">
        <v>28</v>
      </c>
      <c r="B44" s="171" t="s">
        <v>39</v>
      </c>
      <c r="C44" s="202"/>
      <c r="D44" s="202"/>
      <c r="E44" s="245"/>
      <c r="F44" s="245"/>
      <c r="G44" s="220"/>
      <c r="I44" s="264"/>
    </row>
    <row r="45" spans="1:9" ht="12.75">
      <c r="A45" s="172" t="s">
        <v>29</v>
      </c>
      <c r="B45" s="171" t="s">
        <v>40</v>
      </c>
      <c r="C45" s="202">
        <v>37</v>
      </c>
      <c r="D45" s="202">
        <v>230</v>
      </c>
      <c r="E45" s="245">
        <v>45</v>
      </c>
      <c r="F45" s="245">
        <v>79</v>
      </c>
      <c r="G45" s="220">
        <v>32</v>
      </c>
      <c r="I45" s="264"/>
    </row>
    <row r="46" spans="1:9" ht="12.75">
      <c r="A46" s="172" t="s">
        <v>30</v>
      </c>
      <c r="B46" s="171" t="s">
        <v>142</v>
      </c>
      <c r="C46" s="202"/>
      <c r="D46" s="202"/>
      <c r="E46" s="245"/>
      <c r="F46" s="245"/>
      <c r="G46" s="220"/>
      <c r="I46" s="264"/>
    </row>
    <row r="47" spans="1:9" ht="13.5" thickBot="1">
      <c r="A47" s="172" t="s">
        <v>31</v>
      </c>
      <c r="B47" s="171" t="s">
        <v>42</v>
      </c>
      <c r="C47" s="202">
        <v>2907</v>
      </c>
      <c r="D47" s="202">
        <v>1604</v>
      </c>
      <c r="E47" s="245">
        <v>1882</v>
      </c>
      <c r="F47" s="245">
        <v>2949</v>
      </c>
      <c r="G47" s="220">
        <v>1995</v>
      </c>
      <c r="I47" s="264"/>
    </row>
    <row r="48" spans="1:9" ht="13.5" thickBot="1">
      <c r="A48" s="168" t="s">
        <v>32</v>
      </c>
      <c r="B48" s="169" t="s">
        <v>145</v>
      </c>
      <c r="C48" s="207"/>
      <c r="D48" s="207"/>
      <c r="E48" s="234"/>
      <c r="F48" s="234"/>
      <c r="G48" s="208"/>
      <c r="I48" s="266"/>
    </row>
    <row r="49" spans="1:9" ht="13.5" thickBot="1">
      <c r="A49" s="168" t="s">
        <v>33</v>
      </c>
      <c r="B49" s="174" t="s">
        <v>143</v>
      </c>
      <c r="C49" s="221">
        <f>C39+C43+C48</f>
        <v>3002</v>
      </c>
      <c r="D49" s="221">
        <f>D39+D43+D48</f>
        <v>1943</v>
      </c>
      <c r="E49" s="246">
        <f>E39+E43+E48</f>
        <v>1983</v>
      </c>
      <c r="F49" s="246">
        <f>F39+F43+F48</f>
        <v>3031</v>
      </c>
      <c r="G49" s="222">
        <f>G39+G43+G48</f>
        <v>2027</v>
      </c>
      <c r="I49" s="271">
        <f>I39+I43+I48</f>
        <v>0</v>
      </c>
    </row>
    <row r="50" spans="1:9" ht="13.5" thickBot="1">
      <c r="A50" s="175"/>
      <c r="B50" s="176"/>
      <c r="C50" s="185"/>
      <c r="D50" s="185"/>
      <c r="E50" s="186"/>
      <c r="F50" s="186"/>
      <c r="G50" s="186"/>
      <c r="I50" s="186"/>
    </row>
    <row r="51" spans="1:9" ht="13.5" thickBot="1">
      <c r="A51" s="177" t="s">
        <v>34</v>
      </c>
      <c r="B51" s="169" t="s">
        <v>172</v>
      </c>
      <c r="C51" s="207">
        <f>SUM(C52:C57)</f>
        <v>2861</v>
      </c>
      <c r="D51" s="207">
        <f>SUM(D52:D57)</f>
        <v>1912</v>
      </c>
      <c r="E51" s="207">
        <f>SUM(E52:E57)</f>
        <v>1819</v>
      </c>
      <c r="F51" s="234">
        <f>SUM(F52:F57)</f>
        <v>2686</v>
      </c>
      <c r="G51" s="208">
        <f>SUM(G52:G57)</f>
        <v>2027</v>
      </c>
      <c r="I51" s="266">
        <f>SUM(I52:I57)</f>
        <v>-8792544</v>
      </c>
    </row>
    <row r="52" spans="1:9" ht="12.75">
      <c r="A52" s="178" t="s">
        <v>35</v>
      </c>
      <c r="B52" s="179" t="s">
        <v>56</v>
      </c>
      <c r="C52" s="383">
        <v>693</v>
      </c>
      <c r="D52" s="383">
        <v>693</v>
      </c>
      <c r="E52" s="383">
        <v>693</v>
      </c>
      <c r="F52" s="412">
        <v>693</v>
      </c>
      <c r="G52" s="223">
        <v>693</v>
      </c>
      <c r="I52" s="272"/>
    </row>
    <row r="53" spans="1:9" ht="12.75">
      <c r="A53" s="180" t="s">
        <v>125</v>
      </c>
      <c r="B53" s="181" t="s">
        <v>118</v>
      </c>
      <c r="C53" s="202">
        <v>2518</v>
      </c>
      <c r="D53" s="202">
        <f>C53+C56+C57-19</f>
        <v>2149</v>
      </c>
      <c r="E53" s="202">
        <f>D53+D56+D57+202+44</f>
        <v>1465</v>
      </c>
      <c r="F53" s="245">
        <f>E53+E56+E57-181</f>
        <v>945</v>
      </c>
      <c r="G53" s="220">
        <f>F53+F56+F57+19</f>
        <v>2012</v>
      </c>
      <c r="I53" s="264"/>
    </row>
    <row r="54" spans="1:9" ht="12.75">
      <c r="A54" s="182" t="s">
        <v>126</v>
      </c>
      <c r="B54" s="181" t="s">
        <v>112</v>
      </c>
      <c r="C54" s="224"/>
      <c r="D54" s="224"/>
      <c r="E54" s="224"/>
      <c r="F54" s="261"/>
      <c r="G54" s="225"/>
      <c r="I54" s="273"/>
    </row>
    <row r="55" spans="1:9" ht="12.75">
      <c r="A55" s="182" t="s">
        <v>51</v>
      </c>
      <c r="B55" s="181" t="s">
        <v>113</v>
      </c>
      <c r="C55" s="202"/>
      <c r="D55" s="202"/>
      <c r="E55" s="202"/>
      <c r="F55" s="245"/>
      <c r="G55" s="220"/>
      <c r="I55" s="264"/>
    </row>
    <row r="56" spans="1:9" ht="12.75">
      <c r="A56" s="182" t="s">
        <v>52</v>
      </c>
      <c r="B56" s="183" t="s">
        <v>114</v>
      </c>
      <c r="C56" s="224">
        <f>C36</f>
        <v>-885</v>
      </c>
      <c r="D56" s="224">
        <f>D36</f>
        <v>-949</v>
      </c>
      <c r="E56" s="224">
        <f>E36</f>
        <v>-513</v>
      </c>
      <c r="F56" s="261">
        <f>F36</f>
        <v>172</v>
      </c>
      <c r="G56" s="225">
        <f>G36</f>
        <v>-938</v>
      </c>
      <c r="I56" s="273">
        <f>I36</f>
        <v>-8792544</v>
      </c>
    </row>
    <row r="57" spans="1:9" ht="13.5" thickBot="1">
      <c r="A57" s="182" t="s">
        <v>53</v>
      </c>
      <c r="B57" s="183" t="s">
        <v>173</v>
      </c>
      <c r="C57" s="202">
        <f>C35</f>
        <v>535</v>
      </c>
      <c r="D57" s="202">
        <f>D35</f>
        <v>19</v>
      </c>
      <c r="E57" s="202">
        <f>E35</f>
        <v>174</v>
      </c>
      <c r="F57" s="245">
        <f>F35</f>
        <v>876</v>
      </c>
      <c r="G57" s="220">
        <f>G35</f>
        <v>260</v>
      </c>
      <c r="I57" s="264">
        <f>I35</f>
        <v>0</v>
      </c>
    </row>
    <row r="58" spans="1:9" ht="13.5" thickBot="1">
      <c r="A58" s="177" t="s">
        <v>54</v>
      </c>
      <c r="B58" s="169" t="s">
        <v>144</v>
      </c>
      <c r="C58" s="196"/>
      <c r="D58" s="196"/>
      <c r="E58" s="196"/>
      <c r="F58" s="239"/>
      <c r="G58" s="213"/>
      <c r="I58" s="262"/>
    </row>
    <row r="59" spans="1:9" ht="13.5" thickBot="1">
      <c r="A59" s="177" t="s">
        <v>55</v>
      </c>
      <c r="B59" s="169" t="s">
        <v>152</v>
      </c>
      <c r="C59" s="207">
        <f>SUM(C60:C62)</f>
        <v>141</v>
      </c>
      <c r="D59" s="207">
        <f>SUM(D60:D62)</f>
        <v>31</v>
      </c>
      <c r="E59" s="207">
        <f>SUM(E60:E62)</f>
        <v>164</v>
      </c>
      <c r="F59" s="234">
        <f>SUM(F60:F62)</f>
        <v>345</v>
      </c>
      <c r="G59" s="208">
        <f>SUM(G60:G62)</f>
        <v>0</v>
      </c>
      <c r="I59" s="266">
        <f>SUM(I60:I62)</f>
        <v>0</v>
      </c>
    </row>
    <row r="60" spans="1:9" ht="12.75">
      <c r="A60" s="182" t="s">
        <v>64</v>
      </c>
      <c r="B60" s="171" t="s">
        <v>116</v>
      </c>
      <c r="C60" s="202"/>
      <c r="D60" s="202"/>
      <c r="E60" s="202"/>
      <c r="F60" s="245"/>
      <c r="G60" s="220"/>
      <c r="I60" s="264"/>
    </row>
    <row r="61" spans="1:9" ht="12.75">
      <c r="A61" s="182" t="s">
        <v>65</v>
      </c>
      <c r="B61" s="171" t="s">
        <v>115</v>
      </c>
      <c r="C61" s="202"/>
      <c r="D61" s="202"/>
      <c r="E61" s="202"/>
      <c r="F61" s="245"/>
      <c r="G61" s="220"/>
      <c r="I61" s="264"/>
    </row>
    <row r="62" spans="1:9" ht="13.5" thickBot="1">
      <c r="A62" s="182" t="s">
        <v>127</v>
      </c>
      <c r="B62" s="171" t="s">
        <v>117</v>
      </c>
      <c r="C62" s="226">
        <v>141</v>
      </c>
      <c r="D62" s="226">
        <v>31</v>
      </c>
      <c r="E62" s="258">
        <v>164</v>
      </c>
      <c r="F62" s="258">
        <v>345</v>
      </c>
      <c r="G62" s="227"/>
      <c r="I62" s="274"/>
    </row>
    <row r="63" spans="1:9" ht="13.5" thickBot="1">
      <c r="A63" s="177" t="s">
        <v>128</v>
      </c>
      <c r="B63" s="169" t="s">
        <v>146</v>
      </c>
      <c r="C63" s="199"/>
      <c r="D63" s="199"/>
      <c r="E63" s="409"/>
      <c r="F63" s="413"/>
      <c r="G63" s="247"/>
      <c r="I63" s="275"/>
    </row>
    <row r="64" spans="1:9" ht="13.5" thickBot="1">
      <c r="A64" s="177" t="s">
        <v>129</v>
      </c>
      <c r="B64" s="174" t="s">
        <v>153</v>
      </c>
      <c r="C64" s="221">
        <f>C51+C58+C59+C63</f>
        <v>3002</v>
      </c>
      <c r="D64" s="221">
        <f>D51+D58+D59+D63</f>
        <v>1943</v>
      </c>
      <c r="E64" s="221">
        <f>E51+E58+E59+E63</f>
        <v>1983</v>
      </c>
      <c r="F64" s="246">
        <f>F51+F58+F59+F63</f>
        <v>3031</v>
      </c>
      <c r="G64" s="222">
        <f>G51+G58+G59+G63</f>
        <v>2027</v>
      </c>
      <c r="I64" s="271">
        <f>I51+I58+I59+I63</f>
        <v>-8792544</v>
      </c>
    </row>
    <row r="65" spans="1:7" ht="12.75">
      <c r="A65" s="175"/>
      <c r="B65" s="176"/>
      <c r="C65" s="186"/>
      <c r="D65" s="186"/>
      <c r="E65" s="186"/>
      <c r="F65" s="186"/>
      <c r="G65" s="186"/>
    </row>
    <row r="66" spans="1:9" ht="12.75">
      <c r="A66" s="175"/>
      <c r="B66" s="176"/>
      <c r="C66" s="228">
        <f>C49-C64</f>
        <v>0</v>
      </c>
      <c r="D66" s="228">
        <f>D49-D64</f>
        <v>0</v>
      </c>
      <c r="E66" s="228">
        <f>E49-E64</f>
        <v>0</v>
      </c>
      <c r="F66" s="228">
        <f>F49-F64</f>
        <v>0</v>
      </c>
      <c r="G66" s="228">
        <f>G49-G64</f>
        <v>0</v>
      </c>
      <c r="I66" s="228">
        <f>I49-I64</f>
        <v>8792544</v>
      </c>
    </row>
  </sheetData>
  <sheetProtection/>
  <printOptions horizontalCentered="1"/>
  <pageMargins left="0.22" right="0.27" top="0.5905511811023623" bottom="0.4330708661417323" header="0.3937007874015748" footer="0.3937007874015748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zoomScalePageLayoutView="0" workbookViewId="0" topLeftCell="A1">
      <selection activeCell="G95" sqref="G95"/>
    </sheetView>
  </sheetViews>
  <sheetFormatPr defaultColWidth="9.00390625" defaultRowHeight="12.75"/>
  <cols>
    <col min="1" max="1" width="5.25390625" style="175" customWidth="1"/>
    <col min="2" max="2" width="56.125" style="176" customWidth="1"/>
    <col min="3" max="3" width="9.75390625" style="186" hidden="1" customWidth="1"/>
    <col min="4" max="4" width="9.625" style="186" customWidth="1"/>
    <col min="5" max="5" width="11.125" style="186" customWidth="1"/>
    <col min="6" max="6" width="9.125" style="186" customWidth="1"/>
    <col min="7" max="7" width="12.125" style="186" customWidth="1"/>
    <col min="8" max="16384" width="9.125" style="186" customWidth="1"/>
  </cols>
  <sheetData>
    <row r="1" ht="12.75">
      <c r="A1" s="184" t="str">
        <f>Fedőlap!B9</f>
        <v>Budapesti Tájfutók Szövetsége</v>
      </c>
    </row>
    <row r="2" spans="1:2" ht="12.75">
      <c r="A2" s="187" t="s">
        <v>133</v>
      </c>
      <c r="B2" s="188"/>
    </row>
    <row r="3" spans="1:5" ht="12.75">
      <c r="A3" s="189"/>
      <c r="B3" s="190"/>
      <c r="C3" s="290"/>
      <c r="D3" s="290"/>
      <c r="E3" s="290"/>
    </row>
    <row r="4" spans="1:7" ht="15.75">
      <c r="A4" s="450" t="s">
        <v>321</v>
      </c>
      <c r="B4" s="450"/>
      <c r="C4" s="450"/>
      <c r="D4" s="450"/>
      <c r="E4" s="450"/>
      <c r="F4" s="352"/>
      <c r="G4" s="352"/>
    </row>
    <row r="5" spans="1:5" ht="12.75">
      <c r="A5" s="167" t="s">
        <v>134</v>
      </c>
      <c r="B5" s="167" t="s">
        <v>135</v>
      </c>
      <c r="C5" s="191"/>
      <c r="D5" s="191" t="s">
        <v>19</v>
      </c>
      <c r="E5" s="191" t="s">
        <v>136</v>
      </c>
    </row>
    <row r="6" spans="1:7" ht="13.5" thickBot="1">
      <c r="A6" s="192"/>
      <c r="B6" s="193"/>
      <c r="C6" s="194" t="s">
        <v>193</v>
      </c>
      <c r="D6" s="194" t="s">
        <v>194</v>
      </c>
      <c r="E6" s="194" t="s">
        <v>219</v>
      </c>
      <c r="G6" s="175" t="s">
        <v>191</v>
      </c>
    </row>
    <row r="7" spans="1:7" ht="12.75">
      <c r="A7" s="197" t="s">
        <v>23</v>
      </c>
      <c r="B7" s="38" t="s">
        <v>223</v>
      </c>
      <c r="C7" s="199"/>
      <c r="D7" s="199">
        <f>ÉVEK2000TŐL!G13</f>
        <v>5110</v>
      </c>
      <c r="E7" s="289">
        <f aca="true" t="shared" si="0" ref="E7:E13">ROUND(G7/1000,0)</f>
        <v>2139</v>
      </c>
      <c r="G7" s="386">
        <f>Főkönyv!K76</f>
        <v>2138934</v>
      </c>
    </row>
    <row r="8" spans="1:7" ht="12.75">
      <c r="A8" s="200" t="s">
        <v>24</v>
      </c>
      <c r="B8" s="35" t="s">
        <v>224</v>
      </c>
      <c r="C8" s="202"/>
      <c r="D8" s="202"/>
      <c r="E8" s="289">
        <f t="shared" si="0"/>
        <v>0</v>
      </c>
      <c r="G8" s="264"/>
    </row>
    <row r="9" spans="1:7" ht="12.75">
      <c r="A9" s="200" t="s">
        <v>25</v>
      </c>
      <c r="B9" s="35" t="s">
        <v>225</v>
      </c>
      <c r="C9" s="202"/>
      <c r="D9" s="202">
        <f>D10+D11+ÉVEK2000TŐL!G15</f>
        <v>2748</v>
      </c>
      <c r="E9" s="289">
        <f>ROUND(G9/1000,0)</f>
        <v>1556</v>
      </c>
      <c r="G9" s="264">
        <f>Főkönyv!K83+Főkönyv!K69</f>
        <v>1556439</v>
      </c>
    </row>
    <row r="10" spans="1:7" ht="12.75">
      <c r="A10" s="200"/>
      <c r="B10" s="33" t="s">
        <v>322</v>
      </c>
      <c r="C10" s="202"/>
      <c r="D10" s="202">
        <f>ÉVEK2000TŐL!G14</f>
        <v>0</v>
      </c>
      <c r="E10" s="289">
        <f t="shared" si="0"/>
        <v>0</v>
      </c>
      <c r="G10" s="264"/>
    </row>
    <row r="11" spans="1:7" ht="12.75">
      <c r="A11" s="200"/>
      <c r="B11" s="33" t="s">
        <v>323</v>
      </c>
      <c r="C11" s="202"/>
      <c r="D11" s="202">
        <f>ÉVEK2000TŐL!G8+ÉVEK2000TŐL!G9+ÉVEK2000TŐL!G10+ÉVEK2000TŐL!G11+ÉVEK2000TŐL!G12</f>
        <v>2703</v>
      </c>
      <c r="E11" s="289">
        <f t="shared" si="0"/>
        <v>1504</v>
      </c>
      <c r="G11" s="264">
        <f>Főkönyv!K69</f>
        <v>1503984</v>
      </c>
    </row>
    <row r="12" spans="1:7" ht="12.75">
      <c r="A12" s="200" t="s">
        <v>26</v>
      </c>
      <c r="B12" s="35" t="s">
        <v>227</v>
      </c>
      <c r="C12" s="202"/>
      <c r="D12" s="202"/>
      <c r="E12" s="289">
        <f t="shared" si="0"/>
        <v>0</v>
      </c>
      <c r="G12" s="264"/>
    </row>
    <row r="13" spans="1:7" ht="12.75">
      <c r="A13" s="200" t="s">
        <v>27</v>
      </c>
      <c r="B13" s="47" t="s">
        <v>228</v>
      </c>
      <c r="C13" s="202"/>
      <c r="D13" s="202"/>
      <c r="E13" s="289">
        <f t="shared" si="0"/>
        <v>0</v>
      </c>
      <c r="G13" s="264"/>
    </row>
    <row r="14" spans="1:7" ht="12.75">
      <c r="A14" s="200"/>
      <c r="B14" s="49" t="s">
        <v>324</v>
      </c>
      <c r="C14" s="202"/>
      <c r="D14" s="202"/>
      <c r="E14" s="289">
        <f>ROUND(G14/1000,0)</f>
        <v>0</v>
      </c>
      <c r="G14" s="264"/>
    </row>
    <row r="15" spans="1:7" ht="13.5" thickBot="1">
      <c r="A15" s="204"/>
      <c r="B15" s="49" t="s">
        <v>325</v>
      </c>
      <c r="C15" s="226"/>
      <c r="D15" s="226"/>
      <c r="E15" s="289">
        <f>ROUND(G15/1000,0)</f>
        <v>0</v>
      </c>
      <c r="G15" s="265"/>
    </row>
    <row r="16" spans="1:7" ht="13.5" thickBot="1">
      <c r="A16" s="195" t="s">
        <v>157</v>
      </c>
      <c r="B16" s="402" t="s">
        <v>340</v>
      </c>
      <c r="C16" s="196">
        <f>C7+C8+C9+C12+C13</f>
        <v>0</v>
      </c>
      <c r="D16" s="196">
        <f>D7+D8+D9+D12+D13</f>
        <v>7858</v>
      </c>
      <c r="E16" s="213">
        <f>E7+E8+E9+E12+E13</f>
        <v>3695</v>
      </c>
      <c r="G16" s="262">
        <f>G7+G8+G9+G12+G13</f>
        <v>3695373</v>
      </c>
    </row>
    <row r="17" spans="1:7" ht="13.5" thickBot="1">
      <c r="A17" s="195"/>
      <c r="B17" s="402" t="s">
        <v>342</v>
      </c>
      <c r="C17" s="207"/>
      <c r="D17" s="207">
        <f>D16</f>
        <v>7858</v>
      </c>
      <c r="E17" s="213">
        <f aca="true" t="shared" si="1" ref="E17:E23">ROUND(G17/1000,0)</f>
        <v>3695</v>
      </c>
      <c r="G17" s="266">
        <f>G16</f>
        <v>3695373</v>
      </c>
    </row>
    <row r="18" spans="1:7" ht="12.75">
      <c r="A18" s="197" t="s">
        <v>28</v>
      </c>
      <c r="B18" s="198" t="s">
        <v>122</v>
      </c>
      <c r="C18" s="209"/>
      <c r="D18" s="209">
        <f>ÉVEK2000TŐL!G19</f>
        <v>6998</v>
      </c>
      <c r="E18" s="289">
        <f>ROUND(G18/1000,0)-1</f>
        <v>4787</v>
      </c>
      <c r="G18" s="267">
        <f>Főkönyv!G56</f>
        <v>4787521</v>
      </c>
    </row>
    <row r="19" spans="1:7" ht="12.75">
      <c r="A19" s="200" t="s">
        <v>29</v>
      </c>
      <c r="B19" s="203" t="s">
        <v>66</v>
      </c>
      <c r="C19" s="210"/>
      <c r="D19" s="209">
        <f>ÉVEK2000TŐL!G20</f>
        <v>1795</v>
      </c>
      <c r="E19" s="289">
        <f t="shared" si="1"/>
        <v>192</v>
      </c>
      <c r="G19" s="268">
        <f>Főkönyv!G60</f>
        <v>191589</v>
      </c>
    </row>
    <row r="20" spans="1:7" ht="12.75">
      <c r="A20" s="200"/>
      <c r="B20" s="49" t="s">
        <v>328</v>
      </c>
      <c r="C20" s="210"/>
      <c r="D20" s="210"/>
      <c r="E20" s="289">
        <f t="shared" si="1"/>
        <v>0</v>
      </c>
      <c r="G20" s="268"/>
    </row>
    <row r="21" spans="1:7" ht="12.75">
      <c r="A21" s="200" t="s">
        <v>30</v>
      </c>
      <c r="B21" s="35" t="s">
        <v>67</v>
      </c>
      <c r="C21" s="210"/>
      <c r="D21" s="209">
        <f>ÉVEK2000TŐL!G21</f>
        <v>3</v>
      </c>
      <c r="E21" s="289">
        <f t="shared" si="1"/>
        <v>0</v>
      </c>
      <c r="G21" s="268"/>
    </row>
    <row r="22" spans="1:7" ht="12.75">
      <c r="A22" s="200" t="s">
        <v>31</v>
      </c>
      <c r="B22" s="35" t="s">
        <v>167</v>
      </c>
      <c r="C22" s="210"/>
      <c r="D22" s="209">
        <f>ÉVEK2000TŐL!G22</f>
        <v>0</v>
      </c>
      <c r="E22" s="289">
        <f t="shared" si="1"/>
        <v>0</v>
      </c>
      <c r="G22" s="268">
        <f>Főkönyv!G63</f>
        <v>269</v>
      </c>
    </row>
    <row r="23" spans="1:7" ht="12.75">
      <c r="A23" s="204" t="s">
        <v>32</v>
      </c>
      <c r="B23" s="35" t="s">
        <v>123</v>
      </c>
      <c r="C23" s="211"/>
      <c r="D23" s="209">
        <f>ÉVEK2000TŐL!G23</f>
        <v>0</v>
      </c>
      <c r="E23" s="289">
        <f t="shared" si="1"/>
        <v>0</v>
      </c>
      <c r="G23" s="269"/>
    </row>
    <row r="24" spans="1:7" ht="13.5" thickBot="1">
      <c r="A24" s="204" t="s">
        <v>33</v>
      </c>
      <c r="B24" s="403" t="s">
        <v>124</v>
      </c>
      <c r="C24" s="226"/>
      <c r="D24" s="209">
        <f>ÉVEK2000TŐL!G24</f>
        <v>0</v>
      </c>
      <c r="E24" s="289">
        <f>ROUND(G24/1000,0)</f>
        <v>0</v>
      </c>
      <c r="G24" s="265"/>
    </row>
    <row r="25" spans="1:7" ht="13.5" thickBot="1">
      <c r="A25" s="195" t="s">
        <v>158</v>
      </c>
      <c r="B25" s="43" t="s">
        <v>341</v>
      </c>
      <c r="C25" s="207">
        <f>C18+C19+C21+C22+C23+C24</f>
        <v>0</v>
      </c>
      <c r="D25" s="207">
        <f>D18+D19+D21+D22+D23+D24</f>
        <v>8796</v>
      </c>
      <c r="E25" s="208">
        <f>E18+E19+E21+E22+E23+E24</f>
        <v>4979</v>
      </c>
      <c r="G25" s="266">
        <f>G18+G19+G21+G22+G23+G24</f>
        <v>4979379</v>
      </c>
    </row>
    <row r="26" spans="1:7" ht="13.5" thickBot="1">
      <c r="A26" s="195"/>
      <c r="B26" s="402" t="s">
        <v>343</v>
      </c>
      <c r="C26" s="207"/>
      <c r="D26" s="207">
        <f>D25</f>
        <v>8796</v>
      </c>
      <c r="E26" s="289">
        <f>ROUND(G26/1000,0)</f>
        <v>4979</v>
      </c>
      <c r="G26" s="266">
        <f>G25</f>
        <v>4979379</v>
      </c>
    </row>
    <row r="27" spans="1:7" ht="13.5" thickBot="1">
      <c r="A27" s="195" t="s">
        <v>159</v>
      </c>
      <c r="B27" s="212" t="s">
        <v>334</v>
      </c>
      <c r="C27" s="207">
        <f>C25-C31</f>
        <v>0</v>
      </c>
      <c r="D27" s="207">
        <f>D16-D25</f>
        <v>-938</v>
      </c>
      <c r="E27" s="208">
        <f>E16-E25</f>
        <v>-1284</v>
      </c>
      <c r="G27" s="266">
        <f>G16-G25</f>
        <v>-1284006</v>
      </c>
    </row>
    <row r="28" spans="1:7" ht="13.5" thickBot="1">
      <c r="A28" s="195" t="s">
        <v>34</v>
      </c>
      <c r="B28" s="212" t="s">
        <v>326</v>
      </c>
      <c r="C28" s="214"/>
      <c r="D28" s="214"/>
      <c r="E28" s="289">
        <f>ROUND(G28/1000,0)</f>
        <v>0</v>
      </c>
      <c r="G28" s="270"/>
    </row>
    <row r="29" spans="1:7" ht="13.5" thickBot="1">
      <c r="A29" s="195" t="s">
        <v>160</v>
      </c>
      <c r="B29" s="43" t="s">
        <v>311</v>
      </c>
      <c r="C29" s="214"/>
      <c r="D29" s="214">
        <f>D27-D28</f>
        <v>-938</v>
      </c>
      <c r="E29" s="244">
        <f>E27-E28</f>
        <v>-1284</v>
      </c>
      <c r="G29" s="270">
        <f>G27-G28</f>
        <v>-1284006</v>
      </c>
    </row>
    <row r="30" spans="1:7" ht="13.5" thickBot="1">
      <c r="A30" s="195" t="s">
        <v>35</v>
      </c>
      <c r="B30" s="43" t="s">
        <v>312</v>
      </c>
      <c r="C30" s="207"/>
      <c r="D30" s="207"/>
      <c r="E30" s="289">
        <f>ROUND(G30/1000,0)</f>
        <v>0</v>
      </c>
      <c r="G30" s="266"/>
    </row>
    <row r="31" spans="1:7" ht="13.5" thickBot="1">
      <c r="A31" s="195" t="s">
        <v>161</v>
      </c>
      <c r="B31" s="43" t="s">
        <v>335</v>
      </c>
      <c r="C31" s="207">
        <f>C16-C29</f>
        <v>0</v>
      </c>
      <c r="D31" s="207">
        <f>D29-D30</f>
        <v>-938</v>
      </c>
      <c r="E31" s="208">
        <f>E29-E30</f>
        <v>-1284</v>
      </c>
      <c r="G31" s="266">
        <f>G29-G30</f>
        <v>-1284006</v>
      </c>
    </row>
    <row r="32" spans="1:7" ht="13.5" thickBot="1">
      <c r="A32" s="353"/>
      <c r="B32" s="354"/>
      <c r="C32" s="355"/>
      <c r="D32" s="355"/>
      <c r="E32" s="355"/>
      <c r="G32" s="355"/>
    </row>
    <row r="33" spans="1:7" ht="13.5" thickBot="1">
      <c r="A33" s="356" t="s">
        <v>314</v>
      </c>
      <c r="B33" s="357"/>
      <c r="C33" s="357"/>
      <c r="D33" s="357"/>
      <c r="E33" s="358"/>
      <c r="F33" s="359"/>
      <c r="G33" s="359"/>
    </row>
    <row r="34" spans="1:7" ht="12.75">
      <c r="A34" s="360" t="s">
        <v>45</v>
      </c>
      <c r="B34" s="347" t="s">
        <v>315</v>
      </c>
      <c r="C34" s="361"/>
      <c r="D34" s="389">
        <f>ÉVEK2000TŐL!G9</f>
        <v>0</v>
      </c>
      <c r="E34" s="289">
        <f>ROUND(G34/1000,0)</f>
        <v>0</v>
      </c>
      <c r="F34" s="29"/>
      <c r="G34" s="406"/>
    </row>
    <row r="35" spans="1:7" ht="12.75">
      <c r="A35" s="363" t="s">
        <v>47</v>
      </c>
      <c r="B35" s="35" t="s">
        <v>316</v>
      </c>
      <c r="C35" s="364"/>
      <c r="D35" s="401">
        <f>ÉVEK2000TŐL!G10</f>
        <v>1000</v>
      </c>
      <c r="E35" s="289">
        <f>ROUND(G35/1000,0)</f>
        <v>860</v>
      </c>
      <c r="F35" s="29"/>
      <c r="G35" s="406">
        <f>Főkönyv!H69</f>
        <v>860000</v>
      </c>
    </row>
    <row r="36" spans="1:7" ht="24">
      <c r="A36" s="363" t="s">
        <v>46</v>
      </c>
      <c r="B36" s="404" t="s">
        <v>317</v>
      </c>
      <c r="C36" s="366"/>
      <c r="D36" s="366"/>
      <c r="E36" s="367"/>
      <c r="F36" s="368"/>
      <c r="G36" s="369"/>
    </row>
    <row r="37" spans="1:7" ht="12.75">
      <c r="A37" s="363" t="s">
        <v>48</v>
      </c>
      <c r="B37" s="35" t="s">
        <v>318</v>
      </c>
      <c r="C37" s="364"/>
      <c r="D37" s="364"/>
      <c r="E37" s="365"/>
      <c r="F37" s="29"/>
      <c r="G37" s="29"/>
    </row>
    <row r="38" spans="1:7" ht="36">
      <c r="A38" s="363" t="s">
        <v>49</v>
      </c>
      <c r="B38" s="404" t="s">
        <v>319</v>
      </c>
      <c r="C38" s="366"/>
      <c r="D38" s="417">
        <v>187</v>
      </c>
      <c r="E38" s="289">
        <f>ROUND(G38/1000,0)</f>
        <v>179</v>
      </c>
      <c r="F38" s="368"/>
      <c r="G38" s="407">
        <f>Főkönyv!H71</f>
        <v>178984</v>
      </c>
    </row>
    <row r="39" spans="1:7" ht="13.5" thickBot="1">
      <c r="A39" s="370" t="s">
        <v>50</v>
      </c>
      <c r="B39" s="75" t="s">
        <v>320</v>
      </c>
      <c r="C39" s="371"/>
      <c r="D39" s="371"/>
      <c r="E39" s="372"/>
      <c r="F39" s="29"/>
      <c r="G39" s="29"/>
    </row>
    <row r="40" spans="1:7" ht="12.75">
      <c r="A40" s="353"/>
      <c r="B40" s="354"/>
      <c r="C40" s="355"/>
      <c r="D40" s="355"/>
      <c r="E40" s="355"/>
      <c r="G40" s="355"/>
    </row>
    <row r="41" spans="1:7" ht="12.75">
      <c r="A41" s="353"/>
      <c r="B41" s="354"/>
      <c r="C41" s="355"/>
      <c r="D41" s="355"/>
      <c r="E41" s="355"/>
      <c r="G41" s="355"/>
    </row>
    <row r="42" spans="1:7" ht="15.75">
      <c r="A42" s="450" t="s">
        <v>327</v>
      </c>
      <c r="B42" s="450"/>
      <c r="C42" s="450"/>
      <c r="D42" s="450"/>
      <c r="E42" s="450"/>
      <c r="F42" s="352"/>
      <c r="G42" s="352"/>
    </row>
    <row r="43" spans="1:7" ht="12.75">
      <c r="A43" s="353"/>
      <c r="B43" s="354"/>
      <c r="C43" s="355"/>
      <c r="D43" s="355"/>
      <c r="E43" s="355"/>
      <c r="G43" s="355"/>
    </row>
    <row r="44" spans="1:5" ht="12.75">
      <c r="A44" s="167" t="s">
        <v>134</v>
      </c>
      <c r="B44" s="167" t="s">
        <v>135</v>
      </c>
      <c r="C44" s="191"/>
      <c r="D44" s="191" t="s">
        <v>19</v>
      </c>
      <c r="E44" s="191" t="s">
        <v>136</v>
      </c>
    </row>
    <row r="45" spans="1:7" ht="13.5" thickBot="1">
      <c r="A45" s="192"/>
      <c r="B45" s="193"/>
      <c r="C45" s="194" t="s">
        <v>193</v>
      </c>
      <c r="D45" s="194" t="s">
        <v>194</v>
      </c>
      <c r="E45" s="194" t="s">
        <v>219</v>
      </c>
      <c r="G45" s="175" t="s">
        <v>191</v>
      </c>
    </row>
    <row r="46" spans="1:7" ht="12.75">
      <c r="A46" s="197" t="s">
        <v>23</v>
      </c>
      <c r="B46" s="38" t="s">
        <v>223</v>
      </c>
      <c r="C46" s="199"/>
      <c r="D46" s="199">
        <v>260</v>
      </c>
      <c r="E46" s="289">
        <f aca="true" t="shared" si="2" ref="E46:E54">ROUND(G46/1000,0)</f>
        <v>0</v>
      </c>
      <c r="G46" s="386"/>
    </row>
    <row r="47" spans="1:7" ht="12.75">
      <c r="A47" s="200" t="s">
        <v>24</v>
      </c>
      <c r="B47" s="35" t="s">
        <v>224</v>
      </c>
      <c r="C47" s="202"/>
      <c r="D47" s="202"/>
      <c r="E47" s="289">
        <f t="shared" si="2"/>
        <v>0</v>
      </c>
      <c r="G47" s="264"/>
    </row>
    <row r="48" spans="1:7" ht="12.75">
      <c r="A48" s="200" t="s">
        <v>25</v>
      </c>
      <c r="B48" s="35" t="s">
        <v>225</v>
      </c>
      <c r="C48" s="202"/>
      <c r="D48" s="202"/>
      <c r="E48" s="289">
        <f t="shared" si="2"/>
        <v>0</v>
      </c>
      <c r="G48" s="264"/>
    </row>
    <row r="49" spans="1:7" ht="12.75">
      <c r="A49" s="200"/>
      <c r="B49" s="33" t="s">
        <v>322</v>
      </c>
      <c r="C49" s="202"/>
      <c r="D49" s="202"/>
      <c r="E49" s="289">
        <f t="shared" si="2"/>
        <v>0</v>
      </c>
      <c r="G49" s="264"/>
    </row>
    <row r="50" spans="1:7" ht="12.75">
      <c r="A50" s="200"/>
      <c r="B50" s="33" t="s">
        <v>323</v>
      </c>
      <c r="C50" s="202"/>
      <c r="D50" s="202"/>
      <c r="E50" s="289">
        <f t="shared" si="2"/>
        <v>0</v>
      </c>
      <c r="G50" s="264"/>
    </row>
    <row r="51" spans="1:7" ht="12.75">
      <c r="A51" s="200" t="s">
        <v>26</v>
      </c>
      <c r="B51" s="35" t="s">
        <v>227</v>
      </c>
      <c r="C51" s="202"/>
      <c r="D51" s="202"/>
      <c r="E51" s="289">
        <f t="shared" si="2"/>
        <v>0</v>
      </c>
      <c r="G51" s="264"/>
    </row>
    <row r="52" spans="1:7" ht="12.75">
      <c r="A52" s="200" t="s">
        <v>27</v>
      </c>
      <c r="B52" s="47" t="s">
        <v>228</v>
      </c>
      <c r="C52" s="202"/>
      <c r="D52" s="202"/>
      <c r="E52" s="289">
        <f t="shared" si="2"/>
        <v>0</v>
      </c>
      <c r="G52" s="264"/>
    </row>
    <row r="53" spans="1:7" ht="12.75">
      <c r="A53" s="200"/>
      <c r="B53" s="49" t="s">
        <v>324</v>
      </c>
      <c r="C53" s="202"/>
      <c r="D53" s="202"/>
      <c r="E53" s="289">
        <f t="shared" si="2"/>
        <v>0</v>
      </c>
      <c r="G53" s="264"/>
    </row>
    <row r="54" spans="1:7" ht="13.5" thickBot="1">
      <c r="A54" s="204"/>
      <c r="B54" s="49" t="s">
        <v>325</v>
      </c>
      <c r="C54" s="226"/>
      <c r="D54" s="226"/>
      <c r="E54" s="289">
        <f t="shared" si="2"/>
        <v>0</v>
      </c>
      <c r="G54" s="265"/>
    </row>
    <row r="55" spans="1:7" ht="13.5" thickBot="1">
      <c r="A55" s="195" t="s">
        <v>157</v>
      </c>
      <c r="B55" s="402" t="s">
        <v>340</v>
      </c>
      <c r="C55" s="196">
        <f>C46+C47+C48+C51+C52</f>
        <v>0</v>
      </c>
      <c r="D55" s="196">
        <f>D46+D47+D48+D51+D52</f>
        <v>260</v>
      </c>
      <c r="E55" s="213">
        <f>E46+E47+E48+E51+E52</f>
        <v>0</v>
      </c>
      <c r="G55" s="262">
        <f>G46+G47+G48+G51+G52</f>
        <v>0</v>
      </c>
    </row>
    <row r="56" spans="1:7" ht="13.5" thickBot="1">
      <c r="A56" s="195"/>
      <c r="B56" s="402" t="s">
        <v>342</v>
      </c>
      <c r="C56" s="207"/>
      <c r="D56" s="207"/>
      <c r="E56" s="208"/>
      <c r="G56" s="266"/>
    </row>
    <row r="57" spans="1:7" ht="12.75">
      <c r="A57" s="197" t="s">
        <v>28</v>
      </c>
      <c r="B57" s="198" t="s">
        <v>122</v>
      </c>
      <c r="C57" s="209"/>
      <c r="D57" s="209">
        <f>ÉVEK2000TŐL!G26</f>
        <v>0</v>
      </c>
      <c r="E57" s="289">
        <f aca="true" t="shared" si="3" ref="E57:E63">ROUND(G57/1000,0)</f>
        <v>0</v>
      </c>
      <c r="G57" s="267"/>
    </row>
    <row r="58" spans="1:7" ht="12.75">
      <c r="A58" s="200" t="s">
        <v>29</v>
      </c>
      <c r="B58" s="203" t="s">
        <v>66</v>
      </c>
      <c r="C58" s="210"/>
      <c r="D58" s="209">
        <f>ÉVEK2000TŐL!G27</f>
        <v>0</v>
      </c>
      <c r="E58" s="289">
        <f t="shared" si="3"/>
        <v>0</v>
      </c>
      <c r="G58" s="268"/>
    </row>
    <row r="59" spans="1:7" ht="12.75">
      <c r="A59" s="200"/>
      <c r="B59" s="49" t="s">
        <v>328</v>
      </c>
      <c r="C59" s="210"/>
      <c r="D59" s="209"/>
      <c r="E59" s="289">
        <f t="shared" si="3"/>
        <v>0</v>
      </c>
      <c r="G59" s="268"/>
    </row>
    <row r="60" spans="1:7" ht="12.75">
      <c r="A60" s="200" t="s">
        <v>30</v>
      </c>
      <c r="B60" s="35" t="s">
        <v>67</v>
      </c>
      <c r="C60" s="210"/>
      <c r="D60" s="209">
        <f>ÉVEK2000TŐL!G28</f>
        <v>0</v>
      </c>
      <c r="E60" s="289">
        <f t="shared" si="3"/>
        <v>0</v>
      </c>
      <c r="G60" s="268"/>
    </row>
    <row r="61" spans="1:7" ht="12.75">
      <c r="A61" s="200" t="s">
        <v>31</v>
      </c>
      <c r="B61" s="35" t="s">
        <v>167</v>
      </c>
      <c r="C61" s="210"/>
      <c r="D61" s="209">
        <f>ÉVEK2000TŐL!G29</f>
        <v>0</v>
      </c>
      <c r="E61" s="289">
        <f t="shared" si="3"/>
        <v>0</v>
      </c>
      <c r="G61" s="268"/>
    </row>
    <row r="62" spans="1:7" ht="12.75">
      <c r="A62" s="204" t="s">
        <v>32</v>
      </c>
      <c r="B62" s="35" t="s">
        <v>123</v>
      </c>
      <c r="C62" s="211"/>
      <c r="D62" s="209">
        <f>ÉVEK2000TŐL!G30</f>
        <v>0</v>
      </c>
      <c r="E62" s="289">
        <f t="shared" si="3"/>
        <v>0</v>
      </c>
      <c r="G62" s="269"/>
    </row>
    <row r="63" spans="1:7" ht="13.5" thickBot="1">
      <c r="A63" s="204" t="s">
        <v>33</v>
      </c>
      <c r="B63" s="403" t="s">
        <v>124</v>
      </c>
      <c r="C63" s="226"/>
      <c r="D63" s="209">
        <f>ÉVEK2000TŐL!G31</f>
        <v>0</v>
      </c>
      <c r="E63" s="289">
        <f t="shared" si="3"/>
        <v>0</v>
      </c>
      <c r="G63" s="265"/>
    </row>
    <row r="64" spans="1:7" ht="13.5" thickBot="1">
      <c r="A64" s="195" t="s">
        <v>158</v>
      </c>
      <c r="B64" s="43" t="s">
        <v>341</v>
      </c>
      <c r="C64" s="207">
        <f>C57+C58+C60+C61+C62+C63</f>
        <v>0</v>
      </c>
      <c r="D64" s="207">
        <f>D57+D58+D60+D61+D62+D63</f>
        <v>0</v>
      </c>
      <c r="E64" s="208">
        <f>E57+E58+E60+E61+E62+E63</f>
        <v>0</v>
      </c>
      <c r="G64" s="266">
        <f>G57+G58+G60+G61+G62+G63</f>
        <v>0</v>
      </c>
    </row>
    <row r="65" spans="1:7" ht="13.5" thickBot="1">
      <c r="A65" s="195"/>
      <c r="B65" s="402" t="s">
        <v>343</v>
      </c>
      <c r="C65" s="207"/>
      <c r="D65" s="207"/>
      <c r="E65" s="289">
        <f>ROUND(G65/1000,0)</f>
        <v>0</v>
      </c>
      <c r="G65" s="266"/>
    </row>
    <row r="66" spans="1:7" ht="13.5" thickBot="1">
      <c r="A66" s="195" t="s">
        <v>159</v>
      </c>
      <c r="B66" s="212" t="s">
        <v>334</v>
      </c>
      <c r="C66" s="207">
        <f>C64-C70</f>
        <v>0</v>
      </c>
      <c r="D66" s="207">
        <f>D55-D64</f>
        <v>260</v>
      </c>
      <c r="E66" s="208">
        <f>E55-E64</f>
        <v>0</v>
      </c>
      <c r="G66" s="266">
        <f>G55-G64</f>
        <v>0</v>
      </c>
    </row>
    <row r="67" spans="1:7" ht="13.5" thickBot="1">
      <c r="A67" s="195" t="s">
        <v>34</v>
      </c>
      <c r="B67" s="212" t="s">
        <v>326</v>
      </c>
      <c r="C67" s="214"/>
      <c r="D67" s="214"/>
      <c r="E67" s="289">
        <f>ROUND(G67/1000,0)</f>
        <v>0</v>
      </c>
      <c r="G67" s="270"/>
    </row>
    <row r="68" spans="1:7" ht="13.5" thickBot="1">
      <c r="A68" s="195" t="s">
        <v>160</v>
      </c>
      <c r="B68" s="43" t="s">
        <v>311</v>
      </c>
      <c r="C68" s="214"/>
      <c r="D68" s="214">
        <f>D66-D67</f>
        <v>260</v>
      </c>
      <c r="E68" s="244">
        <f>E66-E67</f>
        <v>0</v>
      </c>
      <c r="G68" s="270">
        <f>G66-G67</f>
        <v>0</v>
      </c>
    </row>
    <row r="69" spans="1:7" ht="13.5" thickBot="1">
      <c r="A69" s="195" t="s">
        <v>35</v>
      </c>
      <c r="B69" s="43" t="s">
        <v>312</v>
      </c>
      <c r="C69" s="207"/>
      <c r="D69" s="207"/>
      <c r="E69" s="289">
        <f>ROUND(G69/1000,0)</f>
        <v>0</v>
      </c>
      <c r="G69" s="266"/>
    </row>
    <row r="70" spans="1:7" ht="13.5" thickBot="1">
      <c r="A70" s="195" t="s">
        <v>161</v>
      </c>
      <c r="B70" s="43" t="s">
        <v>335</v>
      </c>
      <c r="C70" s="207">
        <f>C55-C68</f>
        <v>0</v>
      </c>
      <c r="D70" s="207">
        <f>D68-D69</f>
        <v>260</v>
      </c>
      <c r="E70" s="208">
        <f>E68-E69</f>
        <v>0</v>
      </c>
      <c r="G70" s="266">
        <f>G68-G69</f>
        <v>0</v>
      </c>
    </row>
    <row r="71" spans="1:7" ht="13.5" thickBot="1">
      <c r="A71" s="373"/>
      <c r="B71" s="374"/>
      <c r="C71" s="235"/>
      <c r="D71" s="235"/>
      <c r="E71" s="235"/>
      <c r="F71" s="369"/>
      <c r="G71" s="375"/>
    </row>
    <row r="72" spans="1:7" ht="13.5" thickBot="1">
      <c r="A72" s="356" t="s">
        <v>314</v>
      </c>
      <c r="B72" s="357"/>
      <c r="C72" s="357"/>
      <c r="D72" s="357"/>
      <c r="E72" s="358"/>
      <c r="G72" s="355"/>
    </row>
    <row r="73" spans="1:7" ht="12.75">
      <c r="A73" s="360" t="s">
        <v>45</v>
      </c>
      <c r="B73" s="347" t="s">
        <v>315</v>
      </c>
      <c r="C73" s="361"/>
      <c r="D73" s="361"/>
      <c r="E73" s="362"/>
      <c r="G73" s="355"/>
    </row>
    <row r="74" spans="1:7" ht="12.75">
      <c r="A74" s="363" t="s">
        <v>47</v>
      </c>
      <c r="B74" s="35" t="s">
        <v>316</v>
      </c>
      <c r="C74" s="364"/>
      <c r="D74" s="364"/>
      <c r="E74" s="365"/>
      <c r="G74" s="355"/>
    </row>
    <row r="75" spans="1:7" ht="24">
      <c r="A75" s="363" t="s">
        <v>46</v>
      </c>
      <c r="B75" s="404" t="s">
        <v>317</v>
      </c>
      <c r="C75" s="366"/>
      <c r="D75" s="366"/>
      <c r="E75" s="367"/>
      <c r="G75" s="355"/>
    </row>
    <row r="76" spans="1:7" ht="12.75">
      <c r="A76" s="363" t="s">
        <v>48</v>
      </c>
      <c r="B76" s="35" t="s">
        <v>318</v>
      </c>
      <c r="C76" s="364"/>
      <c r="D76" s="364"/>
      <c r="E76" s="365"/>
      <c r="G76" s="355"/>
    </row>
    <row r="77" spans="1:7" ht="36">
      <c r="A77" s="363" t="s">
        <v>49</v>
      </c>
      <c r="B77" s="404" t="s">
        <v>336</v>
      </c>
      <c r="C77" s="366"/>
      <c r="D77" s="366"/>
      <c r="E77" s="367"/>
      <c r="G77" s="355"/>
    </row>
    <row r="78" spans="1:7" ht="13.5" thickBot="1">
      <c r="A78" s="370" t="s">
        <v>50</v>
      </c>
      <c r="B78" s="75" t="s">
        <v>320</v>
      </c>
      <c r="C78" s="371"/>
      <c r="D78" s="371"/>
      <c r="E78" s="372"/>
      <c r="G78" s="355"/>
    </row>
    <row r="79" spans="1:2" ht="12.75">
      <c r="A79" s="215"/>
      <c r="B79" s="216"/>
    </row>
    <row r="80" spans="1:2" ht="13.5" thickBot="1">
      <c r="A80" s="218" t="s">
        <v>137</v>
      </c>
      <c r="B80" s="219"/>
    </row>
    <row r="81" spans="1:7" ht="13.5" thickBot="1">
      <c r="A81" s="168" t="s">
        <v>23</v>
      </c>
      <c r="B81" s="169" t="s">
        <v>138</v>
      </c>
      <c r="C81" s="207">
        <f>C82+C83+C84</f>
        <v>0</v>
      </c>
      <c r="D81" s="234">
        <f>D82+D83+D84</f>
        <v>0</v>
      </c>
      <c r="E81" s="208">
        <f>E82+E83+E84</f>
        <v>0</v>
      </c>
      <c r="G81" s="266">
        <f>G82+G83+G84</f>
        <v>0</v>
      </c>
    </row>
    <row r="82" spans="1:7" ht="12.75">
      <c r="A82" s="170" t="s">
        <v>24</v>
      </c>
      <c r="B82" s="171" t="s">
        <v>36</v>
      </c>
      <c r="C82" s="245"/>
      <c r="D82" s="257">
        <f>ÉVEK2000TŐL!G40</f>
        <v>0</v>
      </c>
      <c r="E82" s="289">
        <f>ROUND(G82/1000,0)</f>
        <v>0</v>
      </c>
      <c r="G82" s="264"/>
    </row>
    <row r="83" spans="1:7" ht="12.75">
      <c r="A83" s="172" t="s">
        <v>25</v>
      </c>
      <c r="B83" s="171" t="s">
        <v>139</v>
      </c>
      <c r="C83" s="245"/>
      <c r="D83" s="202">
        <f>ÉVEK2000TŐL!G41</f>
        <v>0</v>
      </c>
      <c r="E83" s="289">
        <f>ROUND(G83/1000,0)</f>
        <v>0</v>
      </c>
      <c r="G83" s="264"/>
    </row>
    <row r="84" spans="1:7" ht="13.5" thickBot="1">
      <c r="A84" s="172" t="s">
        <v>26</v>
      </c>
      <c r="B84" s="171" t="s">
        <v>140</v>
      </c>
      <c r="C84" s="245"/>
      <c r="D84" s="226">
        <f>ÉVEK2000TŐL!G42</f>
        <v>0</v>
      </c>
      <c r="E84" s="289">
        <f>ROUND(G84/1000,0)</f>
        <v>0</v>
      </c>
      <c r="G84" s="264"/>
    </row>
    <row r="85" spans="1:7" ht="13.5" thickBot="1">
      <c r="A85" s="173" t="s">
        <v>27</v>
      </c>
      <c r="B85" s="169" t="s">
        <v>141</v>
      </c>
      <c r="C85" s="207">
        <f>C86+C87+C88+C89</f>
        <v>0</v>
      </c>
      <c r="D85" s="207">
        <f>D86+D87+D88+D89</f>
        <v>2027</v>
      </c>
      <c r="E85" s="280">
        <f>E86+E87+E88+E89</f>
        <v>1300</v>
      </c>
      <c r="G85" s="266">
        <f>G86+G87+G88+G89</f>
        <v>1300483</v>
      </c>
    </row>
    <row r="86" spans="1:7" ht="12.75">
      <c r="A86" s="172" t="s">
        <v>28</v>
      </c>
      <c r="B86" s="171" t="s">
        <v>39</v>
      </c>
      <c r="C86" s="245"/>
      <c r="D86" s="202">
        <f>ÉVEK2000TŐL!G44</f>
        <v>0</v>
      </c>
      <c r="E86" s="289">
        <f>ROUND(G86/1000,0)</f>
        <v>0</v>
      </c>
      <c r="G86" s="264"/>
    </row>
    <row r="87" spans="1:7" ht="12.75">
      <c r="A87" s="172" t="s">
        <v>29</v>
      </c>
      <c r="B87" s="171" t="s">
        <v>40</v>
      </c>
      <c r="C87" s="245"/>
      <c r="D87" s="202">
        <f>ÉVEK2000TŐL!G45</f>
        <v>32</v>
      </c>
      <c r="E87" s="289">
        <f>ROUND(G87/1000,0)</f>
        <v>24</v>
      </c>
      <c r="G87" s="264">
        <f>Főkönyv!K4</f>
        <v>24000</v>
      </c>
    </row>
    <row r="88" spans="1:7" ht="12.75">
      <c r="A88" s="172" t="s">
        <v>30</v>
      </c>
      <c r="B88" s="171" t="s">
        <v>142</v>
      </c>
      <c r="C88" s="245"/>
      <c r="D88" s="202">
        <f>ÉVEK2000TŐL!G46</f>
        <v>0</v>
      </c>
      <c r="E88" s="289">
        <f>ROUND(G88/1000,0)</f>
        <v>0</v>
      </c>
      <c r="G88" s="264"/>
    </row>
    <row r="89" spans="1:7" ht="13.5" thickBot="1">
      <c r="A89" s="172" t="s">
        <v>31</v>
      </c>
      <c r="B89" s="171" t="s">
        <v>42</v>
      </c>
      <c r="C89" s="245"/>
      <c r="D89" s="206">
        <f>ÉVEK2000TŐL!G47</f>
        <v>1995</v>
      </c>
      <c r="E89" s="225">
        <f>ROUND(G89/1000,0)</f>
        <v>1276</v>
      </c>
      <c r="G89" s="264">
        <f>Főkönyv!K8</f>
        <v>1276483</v>
      </c>
    </row>
    <row r="90" spans="1:7" ht="13.5" thickBot="1">
      <c r="A90" s="168" t="s">
        <v>32</v>
      </c>
      <c r="B90" s="169" t="s">
        <v>145</v>
      </c>
      <c r="C90" s="234"/>
      <c r="D90" s="288">
        <f>ÉVEK2000TŐL!G48</f>
        <v>0</v>
      </c>
      <c r="E90" s="387">
        <f>ROUND(G90/1000,0)</f>
        <v>0</v>
      </c>
      <c r="G90" s="266">
        <f>Főkönyv!K39</f>
        <v>0</v>
      </c>
    </row>
    <row r="91" spans="1:7" ht="13.5" thickBot="1">
      <c r="A91" s="168" t="s">
        <v>33</v>
      </c>
      <c r="B91" s="174" t="s">
        <v>143</v>
      </c>
      <c r="C91" s="221">
        <f>C81+C85+C90</f>
        <v>0</v>
      </c>
      <c r="D91" s="221">
        <f>D81+D85+D90</f>
        <v>2027</v>
      </c>
      <c r="E91" s="281">
        <f>E81+E85+E90</f>
        <v>1300</v>
      </c>
      <c r="G91" s="271">
        <f>G81+G85+G90</f>
        <v>1300483</v>
      </c>
    </row>
    <row r="92" ht="13.5" thickBot="1"/>
    <row r="93" spans="1:7" ht="13.5" thickBot="1">
      <c r="A93" s="177" t="s">
        <v>34</v>
      </c>
      <c r="B93" s="169" t="s">
        <v>172</v>
      </c>
      <c r="C93" s="207">
        <f>SUM(C94:C99)</f>
        <v>0</v>
      </c>
      <c r="D93" s="234">
        <f>SUM(D94:D99)</f>
        <v>2027</v>
      </c>
      <c r="E93" s="208">
        <f>SUM(E94:E99)</f>
        <v>743</v>
      </c>
      <c r="G93" s="266">
        <f>SUM(G94:G99)</f>
        <v>743483</v>
      </c>
    </row>
    <row r="94" spans="1:7" ht="12.75">
      <c r="A94" s="178" t="s">
        <v>35</v>
      </c>
      <c r="B94" s="179" t="s">
        <v>56</v>
      </c>
      <c r="C94" s="257"/>
      <c r="D94" s="257">
        <f>ÉVEK2000TŐL!G52</f>
        <v>693</v>
      </c>
      <c r="E94" s="289">
        <f>ROUND(G94/1000,0)</f>
        <v>693</v>
      </c>
      <c r="G94" s="272">
        <f>Főkönyv!K16</f>
        <v>693000</v>
      </c>
    </row>
    <row r="95" spans="1:7" ht="12.75">
      <c r="A95" s="180" t="s">
        <v>125</v>
      </c>
      <c r="B95" s="181" t="s">
        <v>118</v>
      </c>
      <c r="C95" s="202"/>
      <c r="D95" s="202">
        <f>ÉVEK2000TŐL!G53</f>
        <v>2012</v>
      </c>
      <c r="E95" s="220">
        <f>D95+D98+D99</f>
        <v>1334</v>
      </c>
      <c r="G95" s="264">
        <f>Főkönyv!K17</f>
        <v>1334489</v>
      </c>
    </row>
    <row r="96" spans="1:7" ht="12.75">
      <c r="A96" s="182" t="s">
        <v>126</v>
      </c>
      <c r="B96" s="181" t="s">
        <v>112</v>
      </c>
      <c r="C96" s="224"/>
      <c r="D96" s="202">
        <f>ÉVEK2000TŐL!G54</f>
        <v>0</v>
      </c>
      <c r="E96" s="289">
        <f>ROUND(G96/1000,0)</f>
        <v>0</v>
      </c>
      <c r="G96" s="273"/>
    </row>
    <row r="97" spans="1:7" ht="12.75">
      <c r="A97" s="182" t="s">
        <v>51</v>
      </c>
      <c r="B97" s="181" t="s">
        <v>113</v>
      </c>
      <c r="C97" s="202"/>
      <c r="D97" s="202">
        <f>ÉVEK2000TŐL!G55</f>
        <v>0</v>
      </c>
      <c r="E97" s="289">
        <f>ROUND(G97/1000,0)</f>
        <v>0</v>
      </c>
      <c r="G97" s="264"/>
    </row>
    <row r="98" spans="1:7" ht="12.75">
      <c r="A98" s="182" t="s">
        <v>52</v>
      </c>
      <c r="B98" s="183" t="s">
        <v>114</v>
      </c>
      <c r="C98" s="224">
        <f>C31</f>
        <v>0</v>
      </c>
      <c r="D98" s="224">
        <f>D31</f>
        <v>-938</v>
      </c>
      <c r="E98" s="225">
        <f>E31</f>
        <v>-1284</v>
      </c>
      <c r="G98" s="273">
        <f>Főkönyv!H88</f>
        <v>-1284006</v>
      </c>
    </row>
    <row r="99" spans="1:7" ht="13.5" thickBot="1">
      <c r="A99" s="182" t="s">
        <v>53</v>
      </c>
      <c r="B99" s="183" t="s">
        <v>173</v>
      </c>
      <c r="C99" s="202">
        <f>C70</f>
        <v>0</v>
      </c>
      <c r="D99" s="202">
        <f>D70</f>
        <v>260</v>
      </c>
      <c r="E99" s="227">
        <f>E70</f>
        <v>0</v>
      </c>
      <c r="G99" s="264"/>
    </row>
    <row r="100" spans="1:7" ht="13.5" thickBot="1">
      <c r="A100" s="177" t="s">
        <v>54</v>
      </c>
      <c r="B100" s="169" t="s">
        <v>144</v>
      </c>
      <c r="C100" s="196"/>
      <c r="D100" s="239">
        <f>ÉVEK2000TŐL!G58</f>
        <v>0</v>
      </c>
      <c r="E100" s="289">
        <f>ROUND(G100/1000,0)</f>
        <v>0</v>
      </c>
      <c r="G100" s="262"/>
    </row>
    <row r="101" spans="1:7" ht="13.5" thickBot="1">
      <c r="A101" s="177" t="s">
        <v>55</v>
      </c>
      <c r="B101" s="169" t="s">
        <v>152</v>
      </c>
      <c r="C101" s="207">
        <f>SUM(C102:C104)</f>
        <v>0</v>
      </c>
      <c r="D101" s="234">
        <f>SUM(D102:D104)</f>
        <v>0</v>
      </c>
      <c r="E101" s="208">
        <f>SUM(E102:E104)</f>
        <v>0</v>
      </c>
      <c r="G101" s="266">
        <f>SUM(G102:G104)</f>
        <v>0</v>
      </c>
    </row>
    <row r="102" spans="1:7" ht="12.75">
      <c r="A102" s="182" t="s">
        <v>64</v>
      </c>
      <c r="B102" s="171" t="s">
        <v>116</v>
      </c>
      <c r="C102" s="245"/>
      <c r="D102" s="245">
        <f>ÉVEK2000TŐL!G60</f>
        <v>0</v>
      </c>
      <c r="E102" s="289">
        <f>ROUND(G102/1000,0)</f>
        <v>0</v>
      </c>
      <c r="G102" s="264"/>
    </row>
    <row r="103" spans="1:7" ht="12.75">
      <c r="A103" s="182" t="s">
        <v>65</v>
      </c>
      <c r="B103" s="171" t="s">
        <v>115</v>
      </c>
      <c r="C103" s="245"/>
      <c r="D103" s="245">
        <f>ÉVEK2000TŐL!G61</f>
        <v>0</v>
      </c>
      <c r="E103" s="289">
        <f>ROUND(G103/1000,0)</f>
        <v>0</v>
      </c>
      <c r="G103" s="264"/>
    </row>
    <row r="104" spans="1:7" ht="13.5" thickBot="1">
      <c r="A104" s="182" t="s">
        <v>127</v>
      </c>
      <c r="B104" s="171" t="s">
        <v>117</v>
      </c>
      <c r="C104" s="226"/>
      <c r="D104" s="388">
        <f>ÉVEK2000TŐL!G62</f>
        <v>0</v>
      </c>
      <c r="E104" s="225">
        <f>ROUND(G104/1000,0)</f>
        <v>0</v>
      </c>
      <c r="G104" s="274"/>
    </row>
    <row r="105" spans="1:7" ht="13.5" thickBot="1">
      <c r="A105" s="177" t="s">
        <v>128</v>
      </c>
      <c r="B105" s="169" t="s">
        <v>146</v>
      </c>
      <c r="C105" s="288"/>
      <c r="D105" s="288">
        <f>ÉVEK2000TŐL!G63</f>
        <v>0</v>
      </c>
      <c r="E105" s="387">
        <f>ROUND(G105/1000,0)</f>
        <v>557</v>
      </c>
      <c r="G105" s="275">
        <f>Főkönyv!K28</f>
        <v>557000</v>
      </c>
    </row>
    <row r="106" spans="1:7" ht="13.5" thickBot="1">
      <c r="A106" s="177" t="s">
        <v>129</v>
      </c>
      <c r="B106" s="174" t="s">
        <v>153</v>
      </c>
      <c r="C106" s="221">
        <f>C93+C100+C101+C105</f>
        <v>0</v>
      </c>
      <c r="D106" s="246">
        <f>D93+D100+D101+D105</f>
        <v>2027</v>
      </c>
      <c r="E106" s="222">
        <f>E93+E100+E101+E105</f>
        <v>1300</v>
      </c>
      <c r="G106" s="271">
        <f>G93+G100+G101+G105</f>
        <v>1300483</v>
      </c>
    </row>
    <row r="108" spans="3:7" ht="12.75">
      <c r="C108" s="228">
        <f>C91-C106</f>
        <v>0</v>
      </c>
      <c r="D108" s="228">
        <f>D91-D106</f>
        <v>0</v>
      </c>
      <c r="E108" s="228">
        <f>E91-E106</f>
        <v>0</v>
      </c>
      <c r="G108" s="228">
        <f>G91-G106</f>
        <v>0</v>
      </c>
    </row>
  </sheetData>
  <sheetProtection/>
  <mergeCells count="2">
    <mergeCell ref="A4:E4"/>
    <mergeCell ref="A42:E42"/>
  </mergeCells>
  <printOptions horizontalCentered="1"/>
  <pageMargins left="0.22" right="0.27" top="0.5905511811023623" bottom="0.4330708661417323" header="0.3937007874015748" footer="0.3937007874015748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zoomScalePageLayoutView="0" workbookViewId="0" topLeftCell="A1">
      <pane ySplit="3" topLeftCell="BM82" activePane="bottomLeft" state="frozen"/>
      <selection pane="topLeft" activeCell="A1" sqref="A1"/>
      <selection pane="bottomLeft" activeCell="H94" sqref="H94"/>
    </sheetView>
  </sheetViews>
  <sheetFormatPr defaultColWidth="9.00390625" defaultRowHeight="12.75"/>
  <cols>
    <col min="1" max="1" width="9.625" style="0" customWidth="1"/>
    <col min="2" max="2" width="8.75390625" style="0" bestFit="1" customWidth="1"/>
    <col min="3" max="3" width="44.125" style="0" customWidth="1"/>
    <col min="4" max="4" width="3.75390625" style="0" bestFit="1" customWidth="1"/>
    <col min="5" max="6" width="11.125" style="0" bestFit="1" customWidth="1"/>
    <col min="7" max="7" width="11.75390625" style="0" bestFit="1" customWidth="1"/>
    <col min="8" max="8" width="11.625" style="0" customWidth="1"/>
    <col min="10" max="10" width="13.375" style="0" bestFit="1" customWidth="1"/>
    <col min="11" max="11" width="11.125" style="0" bestFit="1" customWidth="1"/>
    <col min="12" max="12" width="10.75390625" style="0" bestFit="1" customWidth="1"/>
  </cols>
  <sheetData>
    <row r="1" ht="12.75">
      <c r="A1" s="249" t="str">
        <f>Fedőlap!B9</f>
        <v>Budapesti Tájfutók Szövetsége</v>
      </c>
    </row>
    <row r="2" ht="12.75">
      <c r="A2" s="250" t="str">
        <f>Fedőlap!A19</f>
        <v>2012. december 31.</v>
      </c>
    </row>
    <row r="3" spans="1:11" ht="12.75">
      <c r="A3" s="155" t="s">
        <v>185</v>
      </c>
      <c r="B3" s="155" t="s">
        <v>344</v>
      </c>
      <c r="C3" s="155" t="s">
        <v>77</v>
      </c>
      <c r="E3" s="155" t="s">
        <v>186</v>
      </c>
      <c r="F3" s="155" t="s">
        <v>187</v>
      </c>
      <c r="G3" s="155" t="s">
        <v>345</v>
      </c>
      <c r="H3" s="155" t="s">
        <v>346</v>
      </c>
      <c r="I3" s="155" t="s">
        <v>189</v>
      </c>
      <c r="J3" s="251" t="s">
        <v>190</v>
      </c>
      <c r="K3" s="252" t="s">
        <v>188</v>
      </c>
    </row>
    <row r="4" spans="1:11" ht="12.75">
      <c r="A4" t="s">
        <v>364</v>
      </c>
      <c r="B4" t="s">
        <v>46</v>
      </c>
      <c r="C4" t="s">
        <v>365</v>
      </c>
      <c r="D4" t="s">
        <v>186</v>
      </c>
      <c r="E4" s="248">
        <v>70000</v>
      </c>
      <c r="F4" s="248">
        <v>70000</v>
      </c>
      <c r="G4" s="248">
        <v>0</v>
      </c>
      <c r="H4" s="248">
        <v>0</v>
      </c>
      <c r="I4" s="248">
        <f>I22</f>
        <v>24000</v>
      </c>
      <c r="K4" s="276">
        <f>G4+I4</f>
        <v>24000</v>
      </c>
    </row>
    <row r="5" spans="1:11" ht="12.75">
      <c r="A5" t="s">
        <v>366</v>
      </c>
      <c r="B5" t="s">
        <v>49</v>
      </c>
      <c r="C5" t="s">
        <v>367</v>
      </c>
      <c r="D5" t="s">
        <v>186</v>
      </c>
      <c r="E5" s="248">
        <v>70000</v>
      </c>
      <c r="F5" s="248">
        <v>70000</v>
      </c>
      <c r="G5" s="248">
        <v>0</v>
      </c>
      <c r="H5" s="248">
        <v>0</v>
      </c>
      <c r="I5" s="248"/>
      <c r="K5" s="321"/>
    </row>
    <row r="6" spans="1:11" ht="12.75">
      <c r="A6" t="s">
        <v>368</v>
      </c>
      <c r="B6" t="s">
        <v>46</v>
      </c>
      <c r="C6" t="s">
        <v>369</v>
      </c>
      <c r="D6" t="s">
        <v>186</v>
      </c>
      <c r="E6" s="248">
        <v>1715500</v>
      </c>
      <c r="F6" s="248">
        <v>1715500</v>
      </c>
      <c r="G6" s="248">
        <v>0</v>
      </c>
      <c r="H6" s="248">
        <v>0</v>
      </c>
      <c r="K6" s="321"/>
    </row>
    <row r="7" spans="1:11" ht="12.75">
      <c r="A7" t="s">
        <v>370</v>
      </c>
      <c r="B7" t="s">
        <v>49</v>
      </c>
      <c r="C7" t="s">
        <v>371</v>
      </c>
      <c r="D7" t="s">
        <v>186</v>
      </c>
      <c r="E7" s="248">
        <v>1715500</v>
      </c>
      <c r="F7" s="248">
        <v>1715500</v>
      </c>
      <c r="G7" s="248">
        <v>0</v>
      </c>
      <c r="H7" s="248">
        <v>0</v>
      </c>
      <c r="K7" s="321"/>
    </row>
    <row r="8" spans="1:11" ht="12.75">
      <c r="A8" t="s">
        <v>372</v>
      </c>
      <c r="B8" t="s">
        <v>46</v>
      </c>
      <c r="C8" t="s">
        <v>373</v>
      </c>
      <c r="D8" t="s">
        <v>186</v>
      </c>
      <c r="E8" s="248">
        <v>13163362</v>
      </c>
      <c r="F8" s="248">
        <v>11886879</v>
      </c>
      <c r="G8" s="248">
        <v>1276483</v>
      </c>
      <c r="H8" s="248">
        <v>0</v>
      </c>
      <c r="I8" s="248"/>
      <c r="J8" s="248"/>
      <c r="K8" s="276">
        <f>SUM(J8:J12)</f>
        <v>1276483</v>
      </c>
    </row>
    <row r="9" spans="1:11" ht="12.75">
      <c r="A9" t="s">
        <v>374</v>
      </c>
      <c r="B9" t="s">
        <v>49</v>
      </c>
      <c r="C9" t="s">
        <v>375</v>
      </c>
      <c r="D9" t="s">
        <v>186</v>
      </c>
      <c r="E9" s="248">
        <v>6464174</v>
      </c>
      <c r="F9" s="248">
        <v>6412849</v>
      </c>
      <c r="G9" s="248">
        <v>51325</v>
      </c>
      <c r="H9" s="248">
        <v>0</v>
      </c>
      <c r="I9" s="248"/>
      <c r="J9" s="248">
        <f>G9</f>
        <v>51325</v>
      </c>
      <c r="K9" s="321"/>
    </row>
    <row r="10" spans="1:11" ht="12.75">
      <c r="A10" t="s">
        <v>376</v>
      </c>
      <c r="B10" t="s">
        <v>46</v>
      </c>
      <c r="C10" t="s">
        <v>377</v>
      </c>
      <c r="D10" t="s">
        <v>186</v>
      </c>
      <c r="E10" s="248">
        <v>4449188</v>
      </c>
      <c r="F10" s="248">
        <v>3224030</v>
      </c>
      <c r="G10" s="248">
        <v>1225158</v>
      </c>
      <c r="H10" s="248">
        <v>0</v>
      </c>
      <c r="I10" s="248"/>
      <c r="J10" s="248">
        <f>G10</f>
        <v>1225158</v>
      </c>
      <c r="K10" s="321"/>
    </row>
    <row r="11" spans="1:11" ht="12.75">
      <c r="A11" t="s">
        <v>378</v>
      </c>
      <c r="B11" t="s">
        <v>49</v>
      </c>
      <c r="C11" t="s">
        <v>379</v>
      </c>
      <c r="D11" t="s">
        <v>186</v>
      </c>
      <c r="E11" s="248">
        <v>4449188</v>
      </c>
      <c r="F11" s="248">
        <v>3224030</v>
      </c>
      <c r="G11" s="248">
        <v>1225158</v>
      </c>
      <c r="H11" s="248">
        <v>0</v>
      </c>
      <c r="K11" s="321"/>
    </row>
    <row r="12" spans="1:11" ht="12.75">
      <c r="A12" t="s">
        <v>380</v>
      </c>
      <c r="B12" t="s">
        <v>46</v>
      </c>
      <c r="C12" t="s">
        <v>381</v>
      </c>
      <c r="D12" t="s">
        <v>186</v>
      </c>
      <c r="E12" s="248">
        <v>2250000</v>
      </c>
      <c r="F12" s="248">
        <v>2250000</v>
      </c>
      <c r="G12" s="248">
        <v>0</v>
      </c>
      <c r="H12" s="248">
        <v>0</v>
      </c>
      <c r="I12" s="248"/>
      <c r="J12" s="248"/>
      <c r="K12" s="321"/>
    </row>
    <row r="13" spans="1:11" ht="12.75">
      <c r="A13" t="s">
        <v>382</v>
      </c>
      <c r="B13" t="s">
        <v>49</v>
      </c>
      <c r="C13" t="s">
        <v>383</v>
      </c>
      <c r="D13" t="s">
        <v>186</v>
      </c>
      <c r="E13" s="248">
        <v>2250000</v>
      </c>
      <c r="F13" s="248">
        <v>2250000</v>
      </c>
      <c r="G13" s="248">
        <v>0</v>
      </c>
      <c r="H13" s="248">
        <v>0</v>
      </c>
      <c r="I13" s="248"/>
      <c r="K13" s="321"/>
    </row>
    <row r="14" spans="1:13" ht="12.75">
      <c r="A14" t="s">
        <v>384</v>
      </c>
      <c r="B14" t="s">
        <v>385</v>
      </c>
      <c r="C14" t="s">
        <v>386</v>
      </c>
      <c r="D14" t="s">
        <v>186</v>
      </c>
      <c r="E14" s="248">
        <v>14948862</v>
      </c>
      <c r="F14" s="248">
        <v>13672379</v>
      </c>
      <c r="G14" s="248">
        <v>1276483</v>
      </c>
      <c r="H14" s="248">
        <v>0</v>
      </c>
      <c r="I14" s="248"/>
      <c r="K14" s="321"/>
      <c r="L14" s="253">
        <f>SUM(K4:K14)</f>
        <v>1300483</v>
      </c>
      <c r="M14" s="254" t="s">
        <v>195</v>
      </c>
    </row>
    <row r="15" spans="1:13" ht="12.75">
      <c r="A15" t="s">
        <v>387</v>
      </c>
      <c r="B15" t="s">
        <v>46</v>
      </c>
      <c r="C15" t="s">
        <v>388</v>
      </c>
      <c r="D15" t="s">
        <v>186</v>
      </c>
      <c r="E15" s="248">
        <v>0</v>
      </c>
      <c r="F15" s="248">
        <v>2027489</v>
      </c>
      <c r="G15" s="248">
        <v>0</v>
      </c>
      <c r="H15" s="248">
        <v>2027489</v>
      </c>
      <c r="I15" s="248"/>
      <c r="K15" s="321"/>
      <c r="L15" s="253">
        <f>SUM(K15:K32)+H88</f>
        <v>1300483</v>
      </c>
      <c r="M15" s="254" t="s">
        <v>196</v>
      </c>
    </row>
    <row r="16" spans="1:13" ht="12.75">
      <c r="A16" s="418">
        <v>411</v>
      </c>
      <c r="B16" t="s">
        <v>49</v>
      </c>
      <c r="C16" t="s">
        <v>174</v>
      </c>
      <c r="D16" t="s">
        <v>187</v>
      </c>
      <c r="E16" s="248"/>
      <c r="F16" s="248"/>
      <c r="G16" s="248"/>
      <c r="H16" s="248">
        <v>693000</v>
      </c>
      <c r="I16" s="248"/>
      <c r="K16" s="276">
        <f>H16</f>
        <v>693000</v>
      </c>
      <c r="L16" s="253">
        <f>L14-L15</f>
        <v>0</v>
      </c>
      <c r="M16" s="254" t="s">
        <v>197</v>
      </c>
    </row>
    <row r="17" spans="1:11" ht="12.75">
      <c r="A17" t="s">
        <v>389</v>
      </c>
      <c r="B17" t="s">
        <v>49</v>
      </c>
      <c r="C17" t="s">
        <v>390</v>
      </c>
      <c r="D17" t="s">
        <v>186</v>
      </c>
      <c r="E17" s="248">
        <v>0</v>
      </c>
      <c r="F17" s="248">
        <v>2027489</v>
      </c>
      <c r="G17" s="248">
        <v>0</v>
      </c>
      <c r="H17" s="248">
        <v>1334489</v>
      </c>
      <c r="I17" s="248"/>
      <c r="K17" s="276">
        <f>H17</f>
        <v>1334489</v>
      </c>
    </row>
    <row r="18" spans="1:11" ht="12.75">
      <c r="A18" t="s">
        <v>391</v>
      </c>
      <c r="B18" t="s">
        <v>46</v>
      </c>
      <c r="C18" t="s">
        <v>392</v>
      </c>
      <c r="D18" t="s">
        <v>186</v>
      </c>
      <c r="E18" s="248">
        <v>1638450</v>
      </c>
      <c r="F18" s="248">
        <v>1638450</v>
      </c>
      <c r="G18" s="248">
        <v>0</v>
      </c>
      <c r="H18" s="248">
        <v>0</v>
      </c>
      <c r="I18" s="248"/>
      <c r="K18" s="276"/>
    </row>
    <row r="19" spans="1:11" ht="12.75">
      <c r="A19" t="s">
        <v>393</v>
      </c>
      <c r="B19" t="s">
        <v>46</v>
      </c>
      <c r="C19" t="s">
        <v>394</v>
      </c>
      <c r="D19" t="s">
        <v>186</v>
      </c>
      <c r="E19" s="248">
        <v>700000</v>
      </c>
      <c r="F19" s="248">
        <v>700000</v>
      </c>
      <c r="G19" s="248">
        <v>0</v>
      </c>
      <c r="H19" s="248">
        <v>0</v>
      </c>
      <c r="J19" s="253"/>
      <c r="K19" s="321"/>
    </row>
    <row r="20" spans="1:11" ht="12.75">
      <c r="A20" t="s">
        <v>395</v>
      </c>
      <c r="B20" t="s">
        <v>49</v>
      </c>
      <c r="C20" t="s">
        <v>396</v>
      </c>
      <c r="D20" t="s">
        <v>186</v>
      </c>
      <c r="E20" s="248">
        <v>700000</v>
      </c>
      <c r="F20" s="248">
        <v>700000</v>
      </c>
      <c r="G20" s="248">
        <v>0</v>
      </c>
      <c r="H20" s="248">
        <v>0</v>
      </c>
      <c r="I20" s="248"/>
      <c r="J20" s="253"/>
      <c r="K20" s="321"/>
    </row>
    <row r="21" spans="1:11" ht="12.75">
      <c r="A21" t="s">
        <v>397</v>
      </c>
      <c r="B21" t="s">
        <v>49</v>
      </c>
      <c r="C21" t="s">
        <v>398</v>
      </c>
      <c r="D21" t="s">
        <v>186</v>
      </c>
      <c r="E21" s="248">
        <v>938450</v>
      </c>
      <c r="F21" s="248">
        <v>938450</v>
      </c>
      <c r="G21" s="248">
        <v>0</v>
      </c>
      <c r="H21" s="248">
        <v>0</v>
      </c>
      <c r="I21" s="248"/>
      <c r="J21" s="253"/>
      <c r="K21" s="321"/>
    </row>
    <row r="22" spans="1:11" ht="12.75">
      <c r="A22" t="s">
        <v>399</v>
      </c>
      <c r="B22" t="s">
        <v>46</v>
      </c>
      <c r="C22" t="s">
        <v>400</v>
      </c>
      <c r="D22" t="s">
        <v>186</v>
      </c>
      <c r="E22" s="248">
        <v>32000</v>
      </c>
      <c r="F22" s="248">
        <v>8000</v>
      </c>
      <c r="G22" s="248">
        <v>24000</v>
      </c>
      <c r="H22" s="248">
        <v>0</v>
      </c>
      <c r="I22" s="248">
        <f>G22</f>
        <v>24000</v>
      </c>
      <c r="K22" s="276"/>
    </row>
    <row r="23" spans="1:11" ht="12.75">
      <c r="A23" t="s">
        <v>401</v>
      </c>
      <c r="B23" t="s">
        <v>49</v>
      </c>
      <c r="C23" t="s">
        <v>402</v>
      </c>
      <c r="D23" t="s">
        <v>186</v>
      </c>
      <c r="E23" s="248">
        <v>12000</v>
      </c>
      <c r="F23" s="248">
        <v>3000</v>
      </c>
      <c r="G23" s="248">
        <v>9000</v>
      </c>
      <c r="H23" s="248">
        <v>0</v>
      </c>
      <c r="I23" s="248"/>
      <c r="K23" s="321"/>
    </row>
    <row r="24" spans="1:11" ht="12.75">
      <c r="A24" t="s">
        <v>403</v>
      </c>
      <c r="B24" t="s">
        <v>46</v>
      </c>
      <c r="C24" t="s">
        <v>404</v>
      </c>
      <c r="D24" t="s">
        <v>186</v>
      </c>
      <c r="E24" s="248">
        <v>20000</v>
      </c>
      <c r="F24" s="248">
        <v>5000</v>
      </c>
      <c r="G24" s="248">
        <v>15000</v>
      </c>
      <c r="H24" s="248">
        <v>0</v>
      </c>
      <c r="K24" s="321"/>
    </row>
    <row r="25" spans="1:11" ht="12.75">
      <c r="A25" t="s">
        <v>405</v>
      </c>
      <c r="B25" t="s">
        <v>49</v>
      </c>
      <c r="C25" t="s">
        <v>406</v>
      </c>
      <c r="D25" t="s">
        <v>186</v>
      </c>
      <c r="E25" s="248">
        <v>8000</v>
      </c>
      <c r="F25" s="248">
        <v>5000</v>
      </c>
      <c r="G25" s="248">
        <v>3000</v>
      </c>
      <c r="H25" s="248">
        <v>0</v>
      </c>
      <c r="I25" s="248"/>
      <c r="K25" s="321"/>
    </row>
    <row r="26" spans="1:11" ht="12.75">
      <c r="A26" t="s">
        <v>407</v>
      </c>
      <c r="B26" t="s">
        <v>49</v>
      </c>
      <c r="C26" t="s">
        <v>408</v>
      </c>
      <c r="D26" t="s">
        <v>186</v>
      </c>
      <c r="E26" s="248">
        <v>1000</v>
      </c>
      <c r="F26" s="248">
        <v>0</v>
      </c>
      <c r="G26" s="248">
        <v>1000</v>
      </c>
      <c r="H26" s="248">
        <v>0</v>
      </c>
      <c r="I26" s="248"/>
      <c r="K26" s="276"/>
    </row>
    <row r="27" spans="1:11" ht="12.75">
      <c r="A27" t="s">
        <v>409</v>
      </c>
      <c r="B27" t="s">
        <v>49</v>
      </c>
      <c r="C27" t="s">
        <v>410</v>
      </c>
      <c r="D27" t="s">
        <v>186</v>
      </c>
      <c r="E27" s="248">
        <v>11000</v>
      </c>
      <c r="F27" s="248">
        <v>0</v>
      </c>
      <c r="G27" s="248">
        <v>11000</v>
      </c>
      <c r="H27" s="248">
        <v>0</v>
      </c>
      <c r="I27" s="405"/>
      <c r="J27" s="248"/>
      <c r="K27" s="276"/>
    </row>
    <row r="28" spans="1:11" ht="12.75">
      <c r="A28" t="s">
        <v>411</v>
      </c>
      <c r="B28" t="s">
        <v>46</v>
      </c>
      <c r="C28" t="s">
        <v>412</v>
      </c>
      <c r="D28" t="s">
        <v>186</v>
      </c>
      <c r="E28" s="248">
        <v>0</v>
      </c>
      <c r="F28" s="248">
        <v>557000</v>
      </c>
      <c r="G28" s="248">
        <v>0</v>
      </c>
      <c r="H28" s="248">
        <v>557000</v>
      </c>
      <c r="I28" s="292"/>
      <c r="K28" s="276">
        <f>H28</f>
        <v>557000</v>
      </c>
    </row>
    <row r="29" spans="1:11" ht="12.75">
      <c r="A29" t="s">
        <v>413</v>
      </c>
      <c r="B29" t="s">
        <v>49</v>
      </c>
      <c r="C29" t="s">
        <v>414</v>
      </c>
      <c r="D29" t="s">
        <v>186</v>
      </c>
      <c r="E29" s="248">
        <v>0</v>
      </c>
      <c r="F29" s="248">
        <v>557000</v>
      </c>
      <c r="G29" s="248">
        <v>0</v>
      </c>
      <c r="H29" s="248">
        <v>557000</v>
      </c>
      <c r="I29" s="405"/>
      <c r="J29" s="248"/>
      <c r="K29" s="321"/>
    </row>
    <row r="30" spans="1:11" ht="12.75">
      <c r="A30" t="s">
        <v>415</v>
      </c>
      <c r="B30" t="s">
        <v>46</v>
      </c>
      <c r="C30" t="s">
        <v>416</v>
      </c>
      <c r="D30" t="s">
        <v>186</v>
      </c>
      <c r="E30" s="248">
        <v>2027489</v>
      </c>
      <c r="F30" s="248">
        <v>2027489</v>
      </c>
      <c r="G30" s="248">
        <v>0</v>
      </c>
      <c r="H30" s="248">
        <v>0</v>
      </c>
      <c r="I30" s="292"/>
      <c r="K30" s="321"/>
    </row>
    <row r="31" spans="1:10" ht="12.75">
      <c r="A31" t="s">
        <v>417</v>
      </c>
      <c r="B31" t="s">
        <v>49</v>
      </c>
      <c r="C31" t="s">
        <v>418</v>
      </c>
      <c r="D31" t="s">
        <v>186</v>
      </c>
      <c r="E31" s="248">
        <v>2027489</v>
      </c>
      <c r="F31" s="248">
        <v>2027489</v>
      </c>
      <c r="G31" s="248">
        <v>0</v>
      </c>
      <c r="H31" s="248">
        <v>0</v>
      </c>
      <c r="I31" s="292"/>
      <c r="J31" s="248"/>
    </row>
    <row r="32" spans="1:10" ht="12.75">
      <c r="A32" t="s">
        <v>419</v>
      </c>
      <c r="B32" t="s">
        <v>385</v>
      </c>
      <c r="C32" t="s">
        <v>386</v>
      </c>
      <c r="D32" t="s">
        <v>186</v>
      </c>
      <c r="E32" s="248">
        <v>3697939</v>
      </c>
      <c r="F32" s="248">
        <v>6258428</v>
      </c>
      <c r="G32" s="248">
        <v>0</v>
      </c>
      <c r="H32" s="248">
        <v>2560489</v>
      </c>
      <c r="I32" s="292"/>
      <c r="J32" s="248"/>
    </row>
    <row r="33" spans="1:9" ht="12.75">
      <c r="A33" t="s">
        <v>420</v>
      </c>
      <c r="B33" t="s">
        <v>46</v>
      </c>
      <c r="C33" t="s">
        <v>421</v>
      </c>
      <c r="D33" t="s">
        <v>186</v>
      </c>
      <c r="E33" s="248">
        <v>2244548</v>
      </c>
      <c r="F33" s="248">
        <v>0</v>
      </c>
      <c r="G33" s="248">
        <v>2244548</v>
      </c>
      <c r="H33" s="248">
        <v>0</v>
      </c>
      <c r="I33" s="292"/>
    </row>
    <row r="34" spans="1:9" ht="12.75">
      <c r="A34" t="s">
        <v>422</v>
      </c>
      <c r="B34" t="s">
        <v>49</v>
      </c>
      <c r="C34" t="s">
        <v>423</v>
      </c>
      <c r="D34" t="s">
        <v>186</v>
      </c>
      <c r="E34" s="248">
        <v>2244548</v>
      </c>
      <c r="F34" s="248">
        <v>0</v>
      </c>
      <c r="G34" s="248">
        <v>2244548</v>
      </c>
      <c r="H34" s="248">
        <v>0</v>
      </c>
      <c r="I34" s="292"/>
    </row>
    <row r="35" spans="1:10" ht="12.75">
      <c r="A35" t="s">
        <v>424</v>
      </c>
      <c r="B35" t="s">
        <v>46</v>
      </c>
      <c r="C35" t="s">
        <v>425</v>
      </c>
      <c r="D35" t="s">
        <v>186</v>
      </c>
      <c r="E35" s="248">
        <v>2507393</v>
      </c>
      <c r="F35" s="248">
        <v>0</v>
      </c>
      <c r="G35" s="248">
        <v>2507393</v>
      </c>
      <c r="H35" s="248">
        <v>0</v>
      </c>
      <c r="I35" s="405"/>
      <c r="J35" s="248"/>
    </row>
    <row r="36" spans="1:9" ht="12.75">
      <c r="A36" t="s">
        <v>426</v>
      </c>
      <c r="B36" t="s">
        <v>49</v>
      </c>
      <c r="C36" t="s">
        <v>427</v>
      </c>
      <c r="D36" t="s">
        <v>186</v>
      </c>
      <c r="E36" s="248">
        <v>33610</v>
      </c>
      <c r="F36" s="248">
        <v>0</v>
      </c>
      <c r="G36" s="248">
        <v>33610</v>
      </c>
      <c r="H36" s="248">
        <v>0</v>
      </c>
      <c r="I36" s="292"/>
    </row>
    <row r="37" spans="1:9" ht="12.75">
      <c r="A37" t="s">
        <v>428</v>
      </c>
      <c r="B37" t="s">
        <v>49</v>
      </c>
      <c r="C37" t="s">
        <v>429</v>
      </c>
      <c r="D37" t="s">
        <v>186</v>
      </c>
      <c r="E37" s="248">
        <v>6510</v>
      </c>
      <c r="F37" s="248">
        <v>0</v>
      </c>
      <c r="G37" s="248">
        <v>6510</v>
      </c>
      <c r="H37" s="248">
        <v>0</v>
      </c>
      <c r="I37" s="405"/>
    </row>
    <row r="38" spans="1:10" ht="12.75">
      <c r="A38" t="s">
        <v>430</v>
      </c>
      <c r="B38" t="s">
        <v>49</v>
      </c>
      <c r="C38" t="s">
        <v>431</v>
      </c>
      <c r="D38" t="s">
        <v>186</v>
      </c>
      <c r="E38" s="248">
        <v>1730640</v>
      </c>
      <c r="F38" s="248">
        <v>0</v>
      </c>
      <c r="G38" s="248">
        <v>1730640</v>
      </c>
      <c r="H38" s="248">
        <v>0</v>
      </c>
      <c r="I38" s="405"/>
      <c r="J38" s="248"/>
    </row>
    <row r="39" spans="1:11" ht="12.75">
      <c r="A39" t="s">
        <v>432</v>
      </c>
      <c r="B39" t="s">
        <v>49</v>
      </c>
      <c r="C39" t="s">
        <v>433</v>
      </c>
      <c r="D39" t="s">
        <v>186</v>
      </c>
      <c r="E39" s="248">
        <v>736633</v>
      </c>
      <c r="F39" s="248">
        <v>0</v>
      </c>
      <c r="G39" s="248">
        <v>736633</v>
      </c>
      <c r="H39" s="248">
        <v>0</v>
      </c>
      <c r="I39" s="405"/>
      <c r="K39" s="276"/>
    </row>
    <row r="40" spans="1:9" ht="12.75">
      <c r="A40" t="s">
        <v>434</v>
      </c>
      <c r="B40" t="s">
        <v>46</v>
      </c>
      <c r="C40" t="s">
        <v>435</v>
      </c>
      <c r="D40" t="s">
        <v>186</v>
      </c>
      <c r="E40" s="248">
        <v>35580</v>
      </c>
      <c r="F40" s="248">
        <v>0</v>
      </c>
      <c r="G40" s="248">
        <v>35580</v>
      </c>
      <c r="H40" s="248">
        <v>0</v>
      </c>
      <c r="I40" s="405"/>
    </row>
    <row r="41" spans="1:10" ht="12.75">
      <c r="A41" t="s">
        <v>436</v>
      </c>
      <c r="B41" t="s">
        <v>49</v>
      </c>
      <c r="C41" t="s">
        <v>437</v>
      </c>
      <c r="D41" t="s">
        <v>186</v>
      </c>
      <c r="E41" s="248">
        <v>35580</v>
      </c>
      <c r="F41" s="248">
        <v>0</v>
      </c>
      <c r="G41" s="248">
        <v>35580</v>
      </c>
      <c r="H41" s="248">
        <v>0</v>
      </c>
      <c r="I41" s="405"/>
      <c r="J41" s="248"/>
    </row>
    <row r="42" spans="1:9" ht="12.75">
      <c r="A42" t="s">
        <v>438</v>
      </c>
      <c r="B42" t="s">
        <v>46</v>
      </c>
      <c r="C42" t="s">
        <v>439</v>
      </c>
      <c r="D42" t="s">
        <v>186</v>
      </c>
      <c r="E42" s="248">
        <v>186729</v>
      </c>
      <c r="F42" s="248">
        <v>0</v>
      </c>
      <c r="G42" s="248">
        <v>186729</v>
      </c>
      <c r="H42" s="248">
        <v>0</v>
      </c>
      <c r="I42" s="405"/>
    </row>
    <row r="43" spans="1:11" ht="12.75">
      <c r="A43" t="s">
        <v>440</v>
      </c>
      <c r="B43" t="s">
        <v>49</v>
      </c>
      <c r="C43" t="s">
        <v>441</v>
      </c>
      <c r="D43" t="s">
        <v>186</v>
      </c>
      <c r="E43" s="248">
        <v>8592</v>
      </c>
      <c r="F43" s="248">
        <v>0</v>
      </c>
      <c r="G43" s="248">
        <v>8592</v>
      </c>
      <c r="H43" s="248">
        <v>0</v>
      </c>
      <c r="I43" s="292"/>
      <c r="K43" s="276"/>
    </row>
    <row r="44" spans="1:11" ht="12.75">
      <c r="A44" t="s">
        <v>442</v>
      </c>
      <c r="B44" t="s">
        <v>49</v>
      </c>
      <c r="C44" t="s">
        <v>443</v>
      </c>
      <c r="D44" t="s">
        <v>186</v>
      </c>
      <c r="E44" s="248">
        <v>2879</v>
      </c>
      <c r="F44" s="248">
        <v>0</v>
      </c>
      <c r="G44" s="248">
        <v>2879</v>
      </c>
      <c r="H44" s="248">
        <v>0</v>
      </c>
      <c r="I44" s="405"/>
      <c r="K44" s="276"/>
    </row>
    <row r="45" spans="1:10" ht="12.75">
      <c r="A45" t="s">
        <v>444</v>
      </c>
      <c r="B45" t="s">
        <v>46</v>
      </c>
      <c r="C45" t="s">
        <v>445</v>
      </c>
      <c r="D45" t="s">
        <v>186</v>
      </c>
      <c r="E45" s="248">
        <v>175258</v>
      </c>
      <c r="F45" s="248">
        <v>0</v>
      </c>
      <c r="G45" s="248">
        <v>175258</v>
      </c>
      <c r="H45" s="248">
        <v>0</v>
      </c>
      <c r="I45" s="405"/>
      <c r="J45" s="248"/>
    </row>
    <row r="46" spans="1:9" ht="12.75">
      <c r="A46" t="s">
        <v>446</v>
      </c>
      <c r="B46" t="s">
        <v>49</v>
      </c>
      <c r="C46" t="s">
        <v>447</v>
      </c>
      <c r="D46" t="s">
        <v>186</v>
      </c>
      <c r="E46" s="248">
        <v>175258</v>
      </c>
      <c r="F46" s="248">
        <v>0</v>
      </c>
      <c r="G46" s="248">
        <v>175258</v>
      </c>
      <c r="H46" s="248">
        <v>0</v>
      </c>
      <c r="I46" s="405"/>
    </row>
    <row r="47" spans="1:9" ht="12.75">
      <c r="A47" t="s">
        <v>448</v>
      </c>
      <c r="B47" t="s">
        <v>46</v>
      </c>
      <c r="C47" t="s">
        <v>449</v>
      </c>
      <c r="D47" t="s">
        <v>186</v>
      </c>
      <c r="E47" s="248">
        <v>4860</v>
      </c>
      <c r="F47" s="248">
        <v>0</v>
      </c>
      <c r="G47" s="248">
        <v>4860</v>
      </c>
      <c r="H47" s="248">
        <v>0</v>
      </c>
      <c r="I47" s="405"/>
    </row>
    <row r="48" spans="1:9" ht="12.75">
      <c r="A48" t="s">
        <v>450</v>
      </c>
      <c r="B48" t="s">
        <v>49</v>
      </c>
      <c r="C48" t="s">
        <v>406</v>
      </c>
      <c r="D48" t="s">
        <v>186</v>
      </c>
      <c r="E48" s="248">
        <v>4860</v>
      </c>
      <c r="F48" s="248">
        <v>0</v>
      </c>
      <c r="G48" s="248">
        <v>4860</v>
      </c>
      <c r="H48" s="248">
        <v>0</v>
      </c>
      <c r="I48" s="405"/>
    </row>
    <row r="49" spans="1:9" ht="12.75">
      <c r="A49" t="s">
        <v>451</v>
      </c>
      <c r="B49" t="s">
        <v>46</v>
      </c>
      <c r="C49" t="s">
        <v>452</v>
      </c>
      <c r="D49" t="s">
        <v>186</v>
      </c>
      <c r="E49" s="248">
        <v>0</v>
      </c>
      <c r="F49" s="248">
        <v>4979110</v>
      </c>
      <c r="G49" s="248">
        <v>0</v>
      </c>
      <c r="H49" s="248">
        <v>4979110</v>
      </c>
      <c r="I49" s="405"/>
    </row>
    <row r="50" spans="1:9" ht="12.75">
      <c r="A50" t="s">
        <v>453</v>
      </c>
      <c r="B50" t="s">
        <v>49</v>
      </c>
      <c r="C50" t="s">
        <v>454</v>
      </c>
      <c r="D50" t="s">
        <v>186</v>
      </c>
      <c r="E50" s="248">
        <v>0</v>
      </c>
      <c r="F50" s="248">
        <v>2244548</v>
      </c>
      <c r="G50" s="248">
        <v>0</v>
      </c>
      <c r="H50" s="248">
        <v>2244548</v>
      </c>
      <c r="I50" s="405"/>
    </row>
    <row r="51" spans="1:11" ht="12.75">
      <c r="A51" t="s">
        <v>455</v>
      </c>
      <c r="B51" t="s">
        <v>49</v>
      </c>
      <c r="C51" t="s">
        <v>456</v>
      </c>
      <c r="D51" t="s">
        <v>186</v>
      </c>
      <c r="E51" s="248">
        <v>0</v>
      </c>
      <c r="F51" s="248">
        <v>2507393</v>
      </c>
      <c r="G51" s="248">
        <v>0</v>
      </c>
      <c r="H51" s="248">
        <v>2507393</v>
      </c>
      <c r="I51" s="405"/>
      <c r="J51" s="248"/>
      <c r="K51" s="276"/>
    </row>
    <row r="52" spans="1:9" ht="12.75">
      <c r="A52" t="s">
        <v>457</v>
      </c>
      <c r="B52" t="s">
        <v>49</v>
      </c>
      <c r="C52" t="s">
        <v>458</v>
      </c>
      <c r="D52" t="s">
        <v>186</v>
      </c>
      <c r="E52" s="248">
        <v>0</v>
      </c>
      <c r="F52" s="248">
        <v>35580</v>
      </c>
      <c r="G52" s="248">
        <v>0</v>
      </c>
      <c r="H52" s="248">
        <v>35580</v>
      </c>
      <c r="I52" s="292"/>
    </row>
    <row r="53" spans="1:9" ht="12.75">
      <c r="A53" t="s">
        <v>459</v>
      </c>
      <c r="B53" t="s">
        <v>49</v>
      </c>
      <c r="C53" t="s">
        <v>460</v>
      </c>
      <c r="D53" t="s">
        <v>186</v>
      </c>
      <c r="E53" s="248">
        <v>0</v>
      </c>
      <c r="F53" s="248">
        <v>186729</v>
      </c>
      <c r="G53" s="248">
        <v>0</v>
      </c>
      <c r="H53" s="248">
        <v>186729</v>
      </c>
      <c r="I53" s="405"/>
    </row>
    <row r="54" spans="1:9" ht="12.75">
      <c r="A54" t="s">
        <v>461</v>
      </c>
      <c r="B54" t="s">
        <v>49</v>
      </c>
      <c r="C54" t="s">
        <v>462</v>
      </c>
      <c r="D54" t="s">
        <v>186</v>
      </c>
      <c r="E54" s="248">
        <v>0</v>
      </c>
      <c r="F54" s="248">
        <v>4860</v>
      </c>
      <c r="G54" s="248">
        <v>0</v>
      </c>
      <c r="H54" s="248">
        <v>4860</v>
      </c>
      <c r="I54" s="292"/>
    </row>
    <row r="55" spans="1:9" ht="12.75">
      <c r="A55" t="s">
        <v>463</v>
      </c>
      <c r="B55" t="s">
        <v>385</v>
      </c>
      <c r="C55" t="s">
        <v>386</v>
      </c>
      <c r="D55" t="s">
        <v>186</v>
      </c>
      <c r="E55" s="248">
        <v>4979110</v>
      </c>
      <c r="F55" s="248">
        <v>4979110</v>
      </c>
      <c r="G55" s="248">
        <v>0</v>
      </c>
      <c r="H55" s="248">
        <v>0</v>
      </c>
      <c r="I55" s="292"/>
    </row>
    <row r="56" spans="1:9" ht="12.75">
      <c r="A56" t="s">
        <v>464</v>
      </c>
      <c r="B56" t="s">
        <v>46</v>
      </c>
      <c r="C56" t="s">
        <v>465</v>
      </c>
      <c r="D56" t="s">
        <v>186</v>
      </c>
      <c r="E56" s="248">
        <v>4787521</v>
      </c>
      <c r="F56" s="248">
        <v>0</v>
      </c>
      <c r="G56" s="248">
        <v>4787521</v>
      </c>
      <c r="H56" s="248">
        <v>0</v>
      </c>
      <c r="I56" s="292"/>
    </row>
    <row r="57" spans="1:9" ht="12.75">
      <c r="A57" t="s">
        <v>466</v>
      </c>
      <c r="B57" t="s">
        <v>49</v>
      </c>
      <c r="C57" t="s">
        <v>423</v>
      </c>
      <c r="D57" t="s">
        <v>186</v>
      </c>
      <c r="E57" s="248">
        <v>2244548</v>
      </c>
      <c r="F57" s="248">
        <v>0</v>
      </c>
      <c r="G57" s="248">
        <v>2244548</v>
      </c>
      <c r="H57" s="248">
        <v>0</v>
      </c>
      <c r="I57" s="292"/>
    </row>
    <row r="58" spans="1:9" ht="12.75">
      <c r="A58" t="s">
        <v>467</v>
      </c>
      <c r="B58" t="s">
        <v>49</v>
      </c>
      <c r="C58" t="s">
        <v>468</v>
      </c>
      <c r="D58" t="s">
        <v>186</v>
      </c>
      <c r="E58" s="248">
        <v>2507393</v>
      </c>
      <c r="F58" s="248">
        <v>0</v>
      </c>
      <c r="G58" s="248">
        <v>2507393</v>
      </c>
      <c r="H58" s="248">
        <v>0</v>
      </c>
      <c r="I58" s="292"/>
    </row>
    <row r="59" spans="1:10" ht="12.75">
      <c r="A59" t="s">
        <v>469</v>
      </c>
      <c r="B59" t="s">
        <v>49</v>
      </c>
      <c r="C59" t="s">
        <v>470</v>
      </c>
      <c r="D59" t="s">
        <v>186</v>
      </c>
      <c r="E59" s="248">
        <v>35580</v>
      </c>
      <c r="F59" s="248">
        <v>0</v>
      </c>
      <c r="G59" s="248">
        <v>35580</v>
      </c>
      <c r="H59" s="248">
        <v>0</v>
      </c>
      <c r="I59" s="405"/>
      <c r="J59" s="248"/>
    </row>
    <row r="60" spans="1:9" ht="12.75">
      <c r="A60" t="s">
        <v>471</v>
      </c>
      <c r="B60" t="s">
        <v>46</v>
      </c>
      <c r="C60" t="s">
        <v>472</v>
      </c>
      <c r="D60" t="s">
        <v>186</v>
      </c>
      <c r="E60" s="248">
        <v>191589</v>
      </c>
      <c r="F60" s="248">
        <v>0</v>
      </c>
      <c r="G60" s="248">
        <v>191589</v>
      </c>
      <c r="H60" s="248">
        <v>0</v>
      </c>
      <c r="I60" s="405"/>
    </row>
    <row r="61" spans="1:9" ht="12.75">
      <c r="A61" t="s">
        <v>473</v>
      </c>
      <c r="B61" t="s">
        <v>49</v>
      </c>
      <c r="C61" t="s">
        <v>474</v>
      </c>
      <c r="D61" t="s">
        <v>186</v>
      </c>
      <c r="E61" s="248">
        <v>186729</v>
      </c>
      <c r="F61" s="248">
        <v>0</v>
      </c>
      <c r="G61" s="248">
        <v>186729</v>
      </c>
      <c r="H61" s="248">
        <v>0</v>
      </c>
      <c r="I61" s="292"/>
    </row>
    <row r="62" spans="1:9" ht="12.75">
      <c r="A62" t="s">
        <v>475</v>
      </c>
      <c r="B62" t="s">
        <v>49</v>
      </c>
      <c r="C62" t="s">
        <v>476</v>
      </c>
      <c r="D62" t="s">
        <v>186</v>
      </c>
      <c r="E62" s="248">
        <v>4860</v>
      </c>
      <c r="F62" s="248">
        <v>0</v>
      </c>
      <c r="G62" s="248">
        <v>4860</v>
      </c>
      <c r="H62" s="248">
        <v>0</v>
      </c>
      <c r="I62" s="292"/>
    </row>
    <row r="63" spans="1:9" ht="12.75">
      <c r="A63" t="s">
        <v>477</v>
      </c>
      <c r="B63" t="s">
        <v>46</v>
      </c>
      <c r="C63" t="s">
        <v>478</v>
      </c>
      <c r="D63" t="s">
        <v>186</v>
      </c>
      <c r="E63" s="248">
        <v>269</v>
      </c>
      <c r="F63" s="248">
        <v>0</v>
      </c>
      <c r="G63" s="248">
        <v>269</v>
      </c>
      <c r="H63" s="248">
        <v>0</v>
      </c>
      <c r="I63" s="405"/>
    </row>
    <row r="64" spans="1:9" ht="12.75">
      <c r="A64" t="s">
        <v>479</v>
      </c>
      <c r="B64" t="s">
        <v>46</v>
      </c>
      <c r="C64" t="s">
        <v>480</v>
      </c>
      <c r="D64" t="s">
        <v>186</v>
      </c>
      <c r="E64" s="248">
        <v>269</v>
      </c>
      <c r="F64" s="248">
        <v>0</v>
      </c>
      <c r="G64" s="248">
        <v>269</v>
      </c>
      <c r="H64" s="248">
        <v>0</v>
      </c>
      <c r="I64" s="276"/>
    </row>
    <row r="65" spans="1:9" ht="12.75">
      <c r="A65" t="s">
        <v>481</v>
      </c>
      <c r="B65" t="s">
        <v>49</v>
      </c>
      <c r="C65" t="s">
        <v>482</v>
      </c>
      <c r="D65" t="s">
        <v>186</v>
      </c>
      <c r="E65" s="248">
        <v>269</v>
      </c>
      <c r="F65" s="248">
        <v>0</v>
      </c>
      <c r="G65" s="248">
        <v>269</v>
      </c>
      <c r="H65" s="248">
        <v>0</v>
      </c>
      <c r="I65" s="292"/>
    </row>
    <row r="66" spans="1:9" ht="12.75">
      <c r="A66" t="s">
        <v>483</v>
      </c>
      <c r="B66" t="s">
        <v>385</v>
      </c>
      <c r="C66" t="s">
        <v>386</v>
      </c>
      <c r="D66" t="s">
        <v>186</v>
      </c>
      <c r="E66" s="248">
        <v>4979379</v>
      </c>
      <c r="F66" s="248">
        <v>0</v>
      </c>
      <c r="G66" s="248">
        <v>4979379</v>
      </c>
      <c r="H66" s="248">
        <v>0</v>
      </c>
      <c r="I66" s="292"/>
    </row>
    <row r="67" spans="1:9" ht="12.75">
      <c r="A67" t="s">
        <v>484</v>
      </c>
      <c r="B67" t="s">
        <v>46</v>
      </c>
      <c r="C67" t="s">
        <v>485</v>
      </c>
      <c r="D67" t="s">
        <v>186</v>
      </c>
      <c r="E67" s="248">
        <v>557000</v>
      </c>
      <c r="F67" s="248">
        <v>4199918</v>
      </c>
      <c r="G67" s="248">
        <v>0</v>
      </c>
      <c r="H67" s="248">
        <v>3642918</v>
      </c>
      <c r="I67" s="292"/>
    </row>
    <row r="68" spans="1:9" ht="12.75">
      <c r="A68" t="s">
        <v>486</v>
      </c>
      <c r="B68" t="s">
        <v>46</v>
      </c>
      <c r="C68" t="s">
        <v>487</v>
      </c>
      <c r="D68" t="s">
        <v>186</v>
      </c>
      <c r="E68" s="248">
        <v>128000</v>
      </c>
      <c r="F68" s="248">
        <v>1631984</v>
      </c>
      <c r="G68" s="248">
        <v>0</v>
      </c>
      <c r="H68" s="248">
        <v>1503984</v>
      </c>
      <c r="I68" s="405"/>
    </row>
    <row r="69" spans="1:12" ht="12.75">
      <c r="A69" t="s">
        <v>488</v>
      </c>
      <c r="B69" t="s">
        <v>49</v>
      </c>
      <c r="C69" t="s">
        <v>286</v>
      </c>
      <c r="D69" t="s">
        <v>186</v>
      </c>
      <c r="E69" s="248">
        <v>0</v>
      </c>
      <c r="F69" s="248">
        <v>860000</v>
      </c>
      <c r="G69" s="248">
        <v>0</v>
      </c>
      <c r="H69" s="248">
        <v>860000</v>
      </c>
      <c r="I69" s="292"/>
      <c r="K69" s="276">
        <f>H69+H71+H72+H73+H74</f>
        <v>1503984</v>
      </c>
      <c r="L69" t="s">
        <v>520</v>
      </c>
    </row>
    <row r="70" spans="1:10" ht="12.75">
      <c r="A70" t="s">
        <v>489</v>
      </c>
      <c r="B70" t="s">
        <v>46</v>
      </c>
      <c r="C70" t="s">
        <v>490</v>
      </c>
      <c r="D70" t="s">
        <v>186</v>
      </c>
      <c r="E70" s="248">
        <v>0</v>
      </c>
      <c r="F70" s="248">
        <v>457984</v>
      </c>
      <c r="G70" s="248">
        <v>0</v>
      </c>
      <c r="H70" s="248">
        <v>457984</v>
      </c>
      <c r="I70" s="405"/>
      <c r="J70" s="248"/>
    </row>
    <row r="71" spans="1:9" ht="12.75">
      <c r="A71" t="s">
        <v>491</v>
      </c>
      <c r="B71" t="s">
        <v>49</v>
      </c>
      <c r="C71" t="s">
        <v>492</v>
      </c>
      <c r="D71" t="s">
        <v>186</v>
      </c>
      <c r="E71" s="248">
        <v>0</v>
      </c>
      <c r="F71" s="248">
        <v>178984</v>
      </c>
      <c r="G71" s="248">
        <v>0</v>
      </c>
      <c r="H71" s="248">
        <v>178984</v>
      </c>
      <c r="I71" s="405"/>
    </row>
    <row r="72" spans="1:11" ht="12.75">
      <c r="A72" t="s">
        <v>493</v>
      </c>
      <c r="B72" t="s">
        <v>49</v>
      </c>
      <c r="C72" t="s">
        <v>69</v>
      </c>
      <c r="D72" t="s">
        <v>186</v>
      </c>
      <c r="E72" s="248">
        <v>0</v>
      </c>
      <c r="F72" s="248">
        <v>279000</v>
      </c>
      <c r="G72" s="248">
        <v>0</v>
      </c>
      <c r="H72" s="248">
        <v>279000</v>
      </c>
      <c r="I72" s="292"/>
      <c r="K72" s="276"/>
    </row>
    <row r="73" spans="1:9" ht="12.75">
      <c r="A73" t="s">
        <v>494</v>
      </c>
      <c r="B73" t="s">
        <v>49</v>
      </c>
      <c r="C73" t="s">
        <v>495</v>
      </c>
      <c r="D73" t="s">
        <v>186</v>
      </c>
      <c r="E73" s="248">
        <v>128000</v>
      </c>
      <c r="F73" s="248">
        <v>134000</v>
      </c>
      <c r="G73" s="248">
        <v>0</v>
      </c>
      <c r="H73" s="248">
        <v>6000</v>
      </c>
      <c r="I73" s="405"/>
    </row>
    <row r="74" spans="1:9" ht="12.75">
      <c r="A74" t="s">
        <v>496</v>
      </c>
      <c r="B74" t="s">
        <v>49</v>
      </c>
      <c r="C74" t="s">
        <v>497</v>
      </c>
      <c r="D74" t="s">
        <v>186</v>
      </c>
      <c r="E74" s="248">
        <v>0</v>
      </c>
      <c r="F74" s="248">
        <v>180000</v>
      </c>
      <c r="G74" s="248">
        <v>0</v>
      </c>
      <c r="H74" s="248">
        <v>180000</v>
      </c>
      <c r="I74" s="405"/>
    </row>
    <row r="75" spans="1:9" ht="12.75">
      <c r="A75" t="s">
        <v>498</v>
      </c>
      <c r="B75" t="s">
        <v>46</v>
      </c>
      <c r="C75" t="s">
        <v>60</v>
      </c>
      <c r="D75" t="s">
        <v>186</v>
      </c>
      <c r="E75" s="248">
        <v>429000</v>
      </c>
      <c r="F75" s="248">
        <v>2262234</v>
      </c>
      <c r="G75" s="248">
        <v>0</v>
      </c>
      <c r="H75" s="248">
        <v>1833234</v>
      </c>
      <c r="I75" s="292"/>
    </row>
    <row r="76" spans="1:12" ht="12.75">
      <c r="A76" t="s">
        <v>499</v>
      </c>
      <c r="B76" t="s">
        <v>49</v>
      </c>
      <c r="C76" t="s">
        <v>500</v>
      </c>
      <c r="D76" t="s">
        <v>186</v>
      </c>
      <c r="E76" s="248">
        <v>429000</v>
      </c>
      <c r="F76" s="248">
        <v>1916800</v>
      </c>
      <c r="G76" s="248">
        <v>0</v>
      </c>
      <c r="H76" s="248">
        <v>1487800</v>
      </c>
      <c r="I76" s="405"/>
      <c r="K76" s="276">
        <f>H76+H77+H78+H79+H80</f>
        <v>2138934</v>
      </c>
      <c r="L76" t="s">
        <v>355</v>
      </c>
    </row>
    <row r="77" spans="1:11" ht="12.75">
      <c r="A77" t="s">
        <v>501</v>
      </c>
      <c r="B77" t="s">
        <v>49</v>
      </c>
      <c r="C77" t="s">
        <v>502</v>
      </c>
      <c r="D77" t="s">
        <v>186</v>
      </c>
      <c r="E77" s="248">
        <v>0</v>
      </c>
      <c r="F77" s="248">
        <v>136434</v>
      </c>
      <c r="G77" s="248">
        <v>0</v>
      </c>
      <c r="H77" s="248">
        <v>136434</v>
      </c>
      <c r="I77" s="405"/>
      <c r="J77" s="248"/>
      <c r="K77" s="276"/>
    </row>
    <row r="78" spans="1:9" ht="12.75">
      <c r="A78" t="s">
        <v>503</v>
      </c>
      <c r="B78" t="s">
        <v>49</v>
      </c>
      <c r="C78" t="s">
        <v>62</v>
      </c>
      <c r="D78" t="s">
        <v>186</v>
      </c>
      <c r="E78" s="248">
        <v>0</v>
      </c>
      <c r="F78" s="248">
        <v>24000</v>
      </c>
      <c r="G78" s="248">
        <v>0</v>
      </c>
      <c r="H78" s="248">
        <v>24000</v>
      </c>
      <c r="I78" s="405"/>
    </row>
    <row r="79" spans="1:10" ht="12.75">
      <c r="A79" t="s">
        <v>504</v>
      </c>
      <c r="B79" t="s">
        <v>49</v>
      </c>
      <c r="C79" t="s">
        <v>505</v>
      </c>
      <c r="D79" t="s">
        <v>186</v>
      </c>
      <c r="E79" s="248">
        <v>0</v>
      </c>
      <c r="F79" s="248">
        <v>185000</v>
      </c>
      <c r="G79" s="248">
        <v>0</v>
      </c>
      <c r="H79" s="248">
        <v>185000</v>
      </c>
      <c r="I79" s="292"/>
      <c r="J79" s="248"/>
    </row>
    <row r="80" spans="1:11" ht="12.75">
      <c r="A80" t="s">
        <v>506</v>
      </c>
      <c r="B80" t="s">
        <v>49</v>
      </c>
      <c r="C80" t="s">
        <v>507</v>
      </c>
      <c r="D80" t="s">
        <v>186</v>
      </c>
      <c r="E80" s="248">
        <v>0</v>
      </c>
      <c r="F80" s="248">
        <v>305700</v>
      </c>
      <c r="G80" s="248">
        <v>0</v>
      </c>
      <c r="H80" s="248">
        <v>305700</v>
      </c>
      <c r="I80" s="292"/>
      <c r="J80" s="248"/>
      <c r="K80" s="276"/>
    </row>
    <row r="81" spans="1:9" ht="12.75">
      <c r="A81" t="s">
        <v>508</v>
      </c>
      <c r="B81" t="s">
        <v>46</v>
      </c>
      <c r="C81" t="s">
        <v>509</v>
      </c>
      <c r="D81" t="s">
        <v>186</v>
      </c>
      <c r="E81" s="248">
        <v>0</v>
      </c>
      <c r="F81" s="248">
        <v>20</v>
      </c>
      <c r="G81" s="248">
        <v>0</v>
      </c>
      <c r="H81" s="248">
        <v>20</v>
      </c>
      <c r="I81" s="292"/>
    </row>
    <row r="82" spans="1:10" ht="12.75">
      <c r="A82" t="s">
        <v>510</v>
      </c>
      <c r="B82" t="s">
        <v>46</v>
      </c>
      <c r="C82" t="s">
        <v>511</v>
      </c>
      <c r="D82" t="s">
        <v>186</v>
      </c>
      <c r="E82" s="248">
        <v>0</v>
      </c>
      <c r="F82" s="248">
        <v>20</v>
      </c>
      <c r="G82" s="248">
        <v>0</v>
      </c>
      <c r="H82" s="248">
        <v>20</v>
      </c>
      <c r="I82" s="405"/>
      <c r="J82" s="248"/>
    </row>
    <row r="83" spans="1:12" ht="12.75">
      <c r="A83" t="s">
        <v>512</v>
      </c>
      <c r="B83" t="s">
        <v>49</v>
      </c>
      <c r="C83" t="s">
        <v>482</v>
      </c>
      <c r="D83" t="s">
        <v>186</v>
      </c>
      <c r="E83" s="248">
        <v>0</v>
      </c>
      <c r="F83" s="248">
        <v>20</v>
      </c>
      <c r="G83" s="248">
        <v>0</v>
      </c>
      <c r="H83" s="248">
        <v>20</v>
      </c>
      <c r="I83" s="405"/>
      <c r="J83" s="405"/>
      <c r="K83" s="276">
        <f>H83+H86</f>
        <v>52455</v>
      </c>
      <c r="L83" t="s">
        <v>347</v>
      </c>
    </row>
    <row r="84" spans="1:10" ht="12.75">
      <c r="A84" t="s">
        <v>513</v>
      </c>
      <c r="B84" t="s">
        <v>46</v>
      </c>
      <c r="C84" t="s">
        <v>514</v>
      </c>
      <c r="D84" t="s">
        <v>186</v>
      </c>
      <c r="E84" s="248">
        <v>0</v>
      </c>
      <c r="F84" s="248">
        <v>52435</v>
      </c>
      <c r="G84" s="248">
        <v>0</v>
      </c>
      <c r="H84" s="248">
        <v>52435</v>
      </c>
      <c r="I84" s="405"/>
      <c r="J84" s="248"/>
    </row>
    <row r="85" spans="1:10" ht="12.75">
      <c r="A85" t="s">
        <v>515</v>
      </c>
      <c r="B85" t="s">
        <v>46</v>
      </c>
      <c r="C85" t="s">
        <v>516</v>
      </c>
      <c r="D85" t="s">
        <v>186</v>
      </c>
      <c r="E85" s="248">
        <v>0</v>
      </c>
      <c r="F85" s="248">
        <v>52435</v>
      </c>
      <c r="G85" s="248">
        <v>0</v>
      </c>
      <c r="H85" s="248">
        <v>52435</v>
      </c>
      <c r="I85" s="405"/>
      <c r="J85" s="248"/>
    </row>
    <row r="86" spans="1:9" ht="12.75">
      <c r="A86" t="s">
        <v>517</v>
      </c>
      <c r="B86" t="s">
        <v>49</v>
      </c>
      <c r="C86" t="s">
        <v>518</v>
      </c>
      <c r="D86" t="s">
        <v>186</v>
      </c>
      <c r="E86" s="248">
        <v>0</v>
      </c>
      <c r="F86" s="248">
        <v>52435</v>
      </c>
      <c r="G86" s="248">
        <v>0</v>
      </c>
      <c r="H86" s="248">
        <v>52435</v>
      </c>
      <c r="I86" s="292"/>
    </row>
    <row r="87" spans="1:9" ht="12.75">
      <c r="A87" t="s">
        <v>519</v>
      </c>
      <c r="B87" t="s">
        <v>385</v>
      </c>
      <c r="C87" t="s">
        <v>386</v>
      </c>
      <c r="D87" t="s">
        <v>186</v>
      </c>
      <c r="E87" s="248">
        <v>557000</v>
      </c>
      <c r="F87" s="248">
        <v>4252373</v>
      </c>
      <c r="G87" s="248">
        <v>0</v>
      </c>
      <c r="H87" s="248">
        <v>3695373</v>
      </c>
      <c r="I87" s="405"/>
    </row>
    <row r="88" spans="5:9" ht="12.75">
      <c r="E88" s="248"/>
      <c r="F88" s="248"/>
      <c r="G88" s="248"/>
      <c r="H88" s="253">
        <f>H87-G66</f>
        <v>-1284006</v>
      </c>
      <c r="I88" s="405"/>
    </row>
    <row r="89" spans="1:11" ht="12.75">
      <c r="A89" s="321"/>
      <c r="B89" s="321"/>
      <c r="C89" s="321"/>
      <c r="D89" s="321"/>
      <c r="E89" s="276"/>
      <c r="F89" s="276"/>
      <c r="G89" s="276"/>
      <c r="H89" s="248"/>
      <c r="I89" s="405"/>
      <c r="J89" s="248"/>
      <c r="K89" s="276"/>
    </row>
    <row r="90" spans="5:9" ht="12.75">
      <c r="E90" s="248"/>
      <c r="F90" s="248"/>
      <c r="G90" s="248"/>
      <c r="H90" s="248"/>
      <c r="I90" s="405"/>
    </row>
    <row r="91" spans="3:9" ht="12.75">
      <c r="C91" s="321" t="s">
        <v>521</v>
      </c>
      <c r="D91" s="321"/>
      <c r="E91" s="276">
        <f>SUM(E92:E95)</f>
        <v>24000</v>
      </c>
      <c r="F91" s="248"/>
      <c r="G91" s="248"/>
      <c r="H91" s="248"/>
      <c r="I91" s="405"/>
    </row>
    <row r="92" spans="3:9" ht="12.75">
      <c r="C92" t="s">
        <v>402</v>
      </c>
      <c r="E92" s="248">
        <v>9000</v>
      </c>
      <c r="F92" s="248"/>
      <c r="G92" s="248"/>
      <c r="H92" s="248"/>
      <c r="I92" s="405"/>
    </row>
    <row r="93" spans="1:10" ht="12.75">
      <c r="A93" s="321"/>
      <c r="B93" s="321"/>
      <c r="C93" t="s">
        <v>406</v>
      </c>
      <c r="D93" s="321"/>
      <c r="E93" s="248">
        <v>3000</v>
      </c>
      <c r="F93" s="276"/>
      <c r="G93" s="276"/>
      <c r="H93" s="248"/>
      <c r="I93" s="292"/>
      <c r="J93" s="248"/>
    </row>
    <row r="94" spans="3:9" ht="12.75">
      <c r="C94" t="s">
        <v>408</v>
      </c>
      <c r="E94" s="248">
        <v>1000</v>
      </c>
      <c r="F94" s="248"/>
      <c r="G94" s="248"/>
      <c r="H94" s="248"/>
      <c r="I94" s="292"/>
    </row>
    <row r="95" spans="3:9" ht="12.75">
      <c r="C95" t="s">
        <v>410</v>
      </c>
      <c r="E95" s="248">
        <v>11000</v>
      </c>
      <c r="F95" s="248"/>
      <c r="G95" s="248"/>
      <c r="H95" s="248"/>
      <c r="I95" s="292"/>
    </row>
    <row r="96" spans="5:9" ht="12.75">
      <c r="E96" s="248"/>
      <c r="F96" s="248"/>
      <c r="G96" s="248"/>
      <c r="H96" s="248"/>
      <c r="I96" s="276"/>
    </row>
    <row r="97" spans="5:9" ht="12.75">
      <c r="E97" s="248"/>
      <c r="F97" s="248"/>
      <c r="G97" s="248"/>
      <c r="H97" s="248"/>
      <c r="I97" s="292"/>
    </row>
    <row r="98" spans="5:9" ht="12.75">
      <c r="E98" s="248"/>
      <c r="F98" s="248"/>
      <c r="G98" s="248"/>
      <c r="H98" s="248"/>
      <c r="I98" s="292"/>
    </row>
    <row r="99" spans="5:9" ht="12.75">
      <c r="E99" s="248"/>
      <c r="F99" s="248"/>
      <c r="G99" s="248"/>
      <c r="H99" s="248"/>
      <c r="I99" s="405"/>
    </row>
    <row r="100" spans="5:9" ht="12.75">
      <c r="E100" s="248"/>
      <c r="F100" s="248"/>
      <c r="G100" s="248"/>
      <c r="H100" s="248"/>
      <c r="I100" s="405"/>
    </row>
    <row r="101" spans="5:9" ht="12.75">
      <c r="E101" s="248"/>
      <c r="F101" s="248"/>
      <c r="G101" s="248"/>
      <c r="H101" s="248"/>
      <c r="I101" s="292"/>
    </row>
    <row r="102" spans="1:10" ht="12.75">
      <c r="A102" s="321"/>
      <c r="B102" s="321"/>
      <c r="C102" s="321"/>
      <c r="D102" s="321"/>
      <c r="E102" s="276"/>
      <c r="F102" s="276"/>
      <c r="G102" s="276"/>
      <c r="H102" s="276"/>
      <c r="I102" s="292"/>
      <c r="J102" s="248"/>
    </row>
    <row r="103" spans="5:9" ht="12.75">
      <c r="E103" s="248"/>
      <c r="F103" s="248"/>
      <c r="G103" s="248"/>
      <c r="H103" s="248"/>
      <c r="I103" s="405"/>
    </row>
    <row r="104" spans="5:9" ht="12.75">
      <c r="E104" s="248"/>
      <c r="F104" s="248"/>
      <c r="G104" s="248"/>
      <c r="H104" s="248"/>
      <c r="I104" s="292"/>
    </row>
    <row r="105" spans="1:11" ht="12.75">
      <c r="A105" s="321"/>
      <c r="B105" s="321"/>
      <c r="C105" s="321"/>
      <c r="D105" s="321"/>
      <c r="E105" s="276"/>
      <c r="F105" s="276"/>
      <c r="G105" s="276"/>
      <c r="H105" s="248"/>
      <c r="I105" s="292"/>
      <c r="K105" s="276"/>
    </row>
    <row r="106" spans="5:9" ht="12.75">
      <c r="E106" s="248"/>
      <c r="F106" s="248"/>
      <c r="G106" s="248"/>
      <c r="H106" s="248"/>
      <c r="I106" s="405"/>
    </row>
    <row r="107" spans="5:9" ht="12.75">
      <c r="E107" s="248"/>
      <c r="F107" s="248"/>
      <c r="G107" s="248"/>
      <c r="H107" s="248"/>
      <c r="I107" s="405"/>
    </row>
    <row r="108" spans="5:9" ht="12.75">
      <c r="E108" s="248"/>
      <c r="F108" s="248"/>
      <c r="G108" s="248"/>
      <c r="H108" s="248"/>
      <c r="I108" s="405"/>
    </row>
    <row r="109" spans="5:9" ht="12.75">
      <c r="E109" s="248"/>
      <c r="F109" s="248"/>
      <c r="G109" s="248"/>
      <c r="H109" s="248"/>
      <c r="I109" s="292"/>
    </row>
    <row r="110" spans="5:10" ht="12.75">
      <c r="E110" s="248"/>
      <c r="F110" s="248"/>
      <c r="G110" s="248"/>
      <c r="H110" s="248"/>
      <c r="I110" s="405"/>
      <c r="J110" s="248"/>
    </row>
    <row r="111" spans="5:9" ht="12.75">
      <c r="E111" s="248"/>
      <c r="F111" s="248"/>
      <c r="G111" s="248"/>
      <c r="H111" s="248"/>
      <c r="I111" s="405"/>
    </row>
    <row r="112" spans="5:11" ht="12.75">
      <c r="E112" s="248"/>
      <c r="F112" s="248"/>
      <c r="G112" s="248"/>
      <c r="H112" s="248"/>
      <c r="I112" s="292"/>
      <c r="K112" s="276"/>
    </row>
    <row r="113" spans="5:9" ht="12.75">
      <c r="E113" s="248"/>
      <c r="F113" s="248"/>
      <c r="G113" s="248"/>
      <c r="H113" s="248"/>
      <c r="I113" s="405"/>
    </row>
    <row r="114" spans="5:9" ht="12.75">
      <c r="E114" s="248"/>
      <c r="F114" s="248"/>
      <c r="G114" s="248"/>
      <c r="H114" s="248"/>
      <c r="I114" s="292"/>
    </row>
    <row r="115" spans="5:9" ht="12.75">
      <c r="E115" s="248"/>
      <c r="F115" s="248"/>
      <c r="G115" s="248"/>
      <c r="H115" s="248"/>
      <c r="I115" s="292"/>
    </row>
    <row r="116" spans="5:9" ht="12.75">
      <c r="E116" s="248"/>
      <c r="F116" s="248"/>
      <c r="G116" s="248"/>
      <c r="H116" s="248"/>
      <c r="I116" s="405"/>
    </row>
    <row r="117" spans="5:9" ht="12.75">
      <c r="E117" s="248"/>
      <c r="F117" s="248"/>
      <c r="G117" s="248"/>
      <c r="H117" s="248"/>
      <c r="I117" s="405"/>
    </row>
    <row r="118" spans="5:9" ht="12.75">
      <c r="E118" s="248"/>
      <c r="F118" s="248"/>
      <c r="G118" s="248"/>
      <c r="H118" s="248"/>
      <c r="I118" s="405"/>
    </row>
    <row r="119" spans="5:11" ht="12.75">
      <c r="E119" s="248"/>
      <c r="F119" s="248"/>
      <c r="G119" s="248"/>
      <c r="H119" s="248"/>
      <c r="I119" s="405"/>
      <c r="J119" s="248"/>
      <c r="K119" s="276"/>
    </row>
    <row r="120" spans="5:9" ht="12.75">
      <c r="E120" s="248"/>
      <c r="F120" s="248"/>
      <c r="G120" s="248"/>
      <c r="H120" s="248"/>
      <c r="I120" s="405"/>
    </row>
    <row r="121" spans="1:10" ht="12.75">
      <c r="A121" s="321"/>
      <c r="B121" s="321"/>
      <c r="C121" s="321"/>
      <c r="D121" s="321"/>
      <c r="E121" s="276"/>
      <c r="F121" s="276"/>
      <c r="G121" s="276"/>
      <c r="H121" s="248"/>
      <c r="I121" s="405"/>
      <c r="J121" s="248"/>
    </row>
    <row r="122" spans="5:9" ht="12.75">
      <c r="E122" s="248"/>
      <c r="F122" s="248"/>
      <c r="G122" s="248"/>
      <c r="H122" s="248"/>
      <c r="I122" s="405"/>
    </row>
    <row r="123" spans="5:9" ht="12.75">
      <c r="E123" s="248"/>
      <c r="F123" s="248"/>
      <c r="G123" s="248"/>
      <c r="H123" s="248"/>
      <c r="I123" s="405"/>
    </row>
    <row r="124" spans="5:9" ht="12.75">
      <c r="E124" s="248"/>
      <c r="F124" s="248"/>
      <c r="G124" s="248"/>
      <c r="H124" s="248"/>
      <c r="I124" s="405"/>
    </row>
    <row r="125" spans="5:9" ht="12.75">
      <c r="E125" s="248"/>
      <c r="F125" s="248"/>
      <c r="G125" s="248"/>
      <c r="H125" s="248"/>
      <c r="I125" s="292"/>
    </row>
    <row r="126" spans="5:9" ht="12.75">
      <c r="E126" s="248"/>
      <c r="F126" s="248"/>
      <c r="G126" s="248"/>
      <c r="H126" s="248"/>
      <c r="I126" s="292"/>
    </row>
    <row r="127" spans="5:9" ht="12.75">
      <c r="E127" s="248"/>
      <c r="F127" s="248"/>
      <c r="G127" s="248"/>
      <c r="H127" s="248"/>
      <c r="I127" s="405"/>
    </row>
    <row r="128" spans="1:11" ht="12.75">
      <c r="A128" s="321"/>
      <c r="B128" s="321"/>
      <c r="C128" s="321"/>
      <c r="D128" s="321"/>
      <c r="E128" s="276"/>
      <c r="F128" s="276"/>
      <c r="G128" s="276"/>
      <c r="H128" s="248"/>
      <c r="I128" s="405"/>
      <c r="J128" s="248"/>
      <c r="K128" s="276"/>
    </row>
    <row r="129" spans="5:11" ht="12.75">
      <c r="E129" s="248"/>
      <c r="F129" s="248"/>
      <c r="G129" s="248"/>
      <c r="H129" s="248"/>
      <c r="I129" s="405"/>
      <c r="K129" s="321"/>
    </row>
    <row r="130" spans="5:11" ht="12.75">
      <c r="E130" s="248"/>
      <c r="F130" s="248"/>
      <c r="G130" s="248"/>
      <c r="H130" s="248"/>
      <c r="I130" s="405"/>
      <c r="K130" s="321"/>
    </row>
    <row r="131" spans="5:11" ht="12.75">
      <c r="E131" s="248"/>
      <c r="F131" s="248"/>
      <c r="G131" s="248"/>
      <c r="H131" s="248"/>
      <c r="I131" s="292"/>
      <c r="K131" s="321"/>
    </row>
    <row r="132" spans="5:11" ht="12.75">
      <c r="E132" s="248"/>
      <c r="F132" s="248"/>
      <c r="G132" s="248"/>
      <c r="H132" s="248"/>
      <c r="I132" s="405"/>
      <c r="J132" s="248"/>
      <c r="K132" s="276"/>
    </row>
    <row r="133" spans="5:11" ht="12.75">
      <c r="E133" s="248"/>
      <c r="F133" s="248"/>
      <c r="G133" s="248"/>
      <c r="H133" s="248"/>
      <c r="I133" s="405"/>
      <c r="K133" s="321"/>
    </row>
    <row r="134" spans="5:11" ht="12.75">
      <c r="E134" s="248"/>
      <c r="F134" s="248"/>
      <c r="G134" s="248"/>
      <c r="H134" s="248"/>
      <c r="I134" s="405"/>
      <c r="K134" s="321"/>
    </row>
    <row r="135" spans="1:11" ht="12.75">
      <c r="A135" s="321"/>
      <c r="B135" s="321"/>
      <c r="C135" s="321"/>
      <c r="D135" s="321"/>
      <c r="E135" s="276"/>
      <c r="F135" s="276"/>
      <c r="G135" s="276"/>
      <c r="H135" s="248"/>
      <c r="I135" s="405"/>
      <c r="K135" s="276"/>
    </row>
    <row r="136" spans="5:10" ht="12.75">
      <c r="E136" s="248"/>
      <c r="F136" s="248"/>
      <c r="G136" s="248"/>
      <c r="H136" s="248"/>
      <c r="I136" s="405"/>
      <c r="J136" s="248"/>
    </row>
    <row r="137" spans="5:9" ht="12.75">
      <c r="E137" s="248"/>
      <c r="F137" s="248"/>
      <c r="G137" s="248"/>
      <c r="H137" s="248"/>
      <c r="I137" s="405"/>
    </row>
    <row r="138" spans="5:9" ht="12.75">
      <c r="E138" s="248"/>
      <c r="F138" s="248"/>
      <c r="G138" s="248"/>
      <c r="H138" s="248"/>
      <c r="I138" s="405"/>
    </row>
    <row r="139" spans="5:9" ht="12.75">
      <c r="E139" s="248"/>
      <c r="F139" s="248"/>
      <c r="G139" s="248"/>
      <c r="H139" s="248"/>
      <c r="I139" s="292"/>
    </row>
    <row r="140" spans="5:9" ht="12.75">
      <c r="E140" s="248"/>
      <c r="F140" s="248"/>
      <c r="G140" s="248"/>
      <c r="H140" s="248"/>
      <c r="I140" s="405"/>
    </row>
    <row r="141" spans="5:11" ht="12.75">
      <c r="E141" s="248"/>
      <c r="F141" s="248"/>
      <c r="G141" s="248"/>
      <c r="H141" s="248"/>
      <c r="I141" s="292"/>
      <c r="J141" s="248"/>
      <c r="K141" s="276"/>
    </row>
    <row r="142" spans="5:9" ht="12.75">
      <c r="E142" s="248"/>
      <c r="F142" s="248"/>
      <c r="G142" s="248"/>
      <c r="H142" s="248"/>
      <c r="I142" s="292"/>
    </row>
    <row r="143" spans="5:11" ht="12.75">
      <c r="E143" s="248"/>
      <c r="F143" s="248"/>
      <c r="G143" s="248"/>
      <c r="H143" s="248"/>
      <c r="I143" s="405"/>
      <c r="K143" s="276"/>
    </row>
    <row r="144" spans="5:9" ht="12.75">
      <c r="E144" s="248"/>
      <c r="F144" s="248"/>
      <c r="G144" s="248"/>
      <c r="H144" s="248"/>
      <c r="I144" s="405"/>
    </row>
    <row r="145" spans="5:9" ht="12.75">
      <c r="E145" s="248"/>
      <c r="F145" s="248"/>
      <c r="G145" s="248"/>
      <c r="H145" s="248"/>
      <c r="I145" s="292"/>
    </row>
    <row r="146" spans="5:9" ht="12.75">
      <c r="E146" s="248"/>
      <c r="F146" s="248"/>
      <c r="G146" s="248"/>
      <c r="H146" s="248"/>
      <c r="I146" s="292"/>
    </row>
    <row r="147" spans="5:9" ht="12.75">
      <c r="E147" s="248"/>
      <c r="F147" s="248"/>
      <c r="G147" s="248"/>
      <c r="H147" s="248"/>
      <c r="I147" s="248"/>
    </row>
    <row r="148" spans="5:9" ht="12.75">
      <c r="E148" s="248"/>
      <c r="F148" s="248"/>
      <c r="G148" s="248"/>
      <c r="H148" s="248"/>
      <c r="I148" s="248"/>
    </row>
    <row r="149" spans="1:10" ht="12.75">
      <c r="A149" s="321"/>
      <c r="B149" s="321"/>
      <c r="C149" s="321"/>
      <c r="D149" s="321"/>
      <c r="E149" s="276"/>
      <c r="F149" s="276"/>
      <c r="G149" s="276"/>
      <c r="H149" s="276"/>
      <c r="I149" s="248"/>
      <c r="J149" s="276"/>
    </row>
    <row r="150" spans="5:9" ht="12.75">
      <c r="E150" s="248"/>
      <c r="F150" s="248"/>
      <c r="G150" s="248"/>
      <c r="H150" s="248"/>
      <c r="I150" s="253"/>
    </row>
    <row r="151" spans="5:10" ht="12.75">
      <c r="E151" s="248"/>
      <c r="F151" s="248"/>
      <c r="G151" s="248"/>
      <c r="H151" s="248"/>
      <c r="I151" s="248"/>
      <c r="J151" s="248"/>
    </row>
    <row r="152" spans="1:10" ht="12.75">
      <c r="A152" s="321"/>
      <c r="B152" s="321"/>
      <c r="C152" s="321"/>
      <c r="D152" s="321"/>
      <c r="E152" s="276"/>
      <c r="F152" s="276"/>
      <c r="G152" s="276"/>
      <c r="H152" s="276"/>
      <c r="J152" s="248"/>
    </row>
    <row r="153" spans="5:11" ht="12.75">
      <c r="E153" s="248"/>
      <c r="F153" s="248"/>
      <c r="G153" s="248"/>
      <c r="H153" s="248"/>
      <c r="K153" s="276"/>
    </row>
    <row r="154" spans="5:8" ht="12.75">
      <c r="E154" s="248"/>
      <c r="F154" s="248"/>
      <c r="G154" s="248"/>
      <c r="H154" s="248"/>
    </row>
    <row r="155" spans="5:9" ht="12.75">
      <c r="E155" s="248"/>
      <c r="F155" s="248"/>
      <c r="G155" s="248"/>
      <c r="H155" s="248"/>
      <c r="I155" s="248"/>
    </row>
    <row r="156" spans="5:8" ht="12.75">
      <c r="E156" s="248"/>
      <c r="F156" s="248"/>
      <c r="G156" s="248"/>
      <c r="H156" s="248"/>
    </row>
    <row r="157" spans="5:8" ht="12.75">
      <c r="E157" s="248"/>
      <c r="F157" s="248"/>
      <c r="G157" s="248"/>
      <c r="H157" s="248"/>
    </row>
    <row r="158" spans="5:8" ht="12.75">
      <c r="E158" s="248"/>
      <c r="F158" s="248"/>
      <c r="G158" s="248"/>
      <c r="H158" s="248"/>
    </row>
    <row r="159" spans="1:11" ht="12.75">
      <c r="A159" s="321"/>
      <c r="B159" s="321"/>
      <c r="C159" s="321"/>
      <c r="D159" s="321"/>
      <c r="E159" s="276"/>
      <c r="F159" s="276"/>
      <c r="G159" s="276"/>
      <c r="H159" s="276"/>
      <c r="K159" s="276">
        <f>H159</f>
        <v>0</v>
      </c>
    </row>
    <row r="160" spans="5:11" ht="12.75">
      <c r="E160" s="248"/>
      <c r="F160" s="248"/>
      <c r="G160" s="248"/>
      <c r="H160" s="248"/>
      <c r="I160" s="253"/>
      <c r="K160" s="321"/>
    </row>
    <row r="161" spans="5:11" ht="12.75">
      <c r="E161" s="248"/>
      <c r="F161" s="248"/>
      <c r="G161" s="248"/>
      <c r="H161" s="248"/>
      <c r="K161" s="321"/>
    </row>
    <row r="162" spans="5:11" ht="12.75">
      <c r="E162" s="248"/>
      <c r="F162" s="248"/>
      <c r="G162" s="248"/>
      <c r="H162" s="248"/>
      <c r="K162" s="321"/>
    </row>
    <row r="163" spans="5:11" ht="12.75">
      <c r="E163" s="248"/>
      <c r="F163" s="248"/>
      <c r="G163" s="248"/>
      <c r="H163" s="248"/>
      <c r="K163" s="321"/>
    </row>
    <row r="164" spans="5:11" ht="12.75">
      <c r="E164" s="248"/>
      <c r="F164" s="248"/>
      <c r="G164" s="248"/>
      <c r="H164" s="248"/>
      <c r="K164" s="321"/>
    </row>
    <row r="165" spans="1:11" ht="12.75">
      <c r="A165" s="321"/>
      <c r="B165" s="321"/>
      <c r="C165" s="321"/>
      <c r="D165" s="321"/>
      <c r="E165" s="276"/>
      <c r="F165" s="276"/>
      <c r="G165" s="276"/>
      <c r="H165" s="276"/>
      <c r="K165" s="276">
        <f>H165</f>
        <v>0</v>
      </c>
    </row>
    <row r="166" spans="5:8" ht="12.75">
      <c r="E166" s="248"/>
      <c r="F166" s="248"/>
      <c r="G166" s="248"/>
      <c r="H166" s="248"/>
    </row>
    <row r="167" spans="5:8" ht="12.75">
      <c r="E167" s="248"/>
      <c r="F167" s="248"/>
      <c r="G167" s="248"/>
      <c r="H167" s="248"/>
    </row>
    <row r="168" spans="5:8" ht="12.75">
      <c r="E168" s="248"/>
      <c r="F168" s="248"/>
      <c r="G168" s="248"/>
      <c r="H168" s="248"/>
    </row>
    <row r="169" ht="12.75">
      <c r="H169" s="253">
        <f>H168-G139</f>
        <v>0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2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0" width="4.75390625" style="0" customWidth="1"/>
    <col min="11" max="11" width="5.00390625" style="0" customWidth="1"/>
    <col min="12" max="17" width="4.75390625" style="0" customWidth="1"/>
    <col min="18" max="20" width="3.75390625" style="0" customWidth="1"/>
    <col min="21" max="21" width="4.625" style="0" customWidth="1"/>
    <col min="22" max="22" width="3.125" style="0" customWidth="1"/>
  </cols>
  <sheetData>
    <row r="1" spans="1:24" ht="21.75" customHeight="1" thickBot="1">
      <c r="A1" s="17" t="str">
        <f>Adatlap!D5</f>
        <v>1</v>
      </c>
      <c r="B1" s="19" t="str">
        <f>Adatlap!E5</f>
        <v>9</v>
      </c>
      <c r="C1" s="19" t="str">
        <f>Adatlap!F5</f>
        <v>6</v>
      </c>
      <c r="D1" s="19" t="str">
        <f>Adatlap!G5</f>
        <v>2</v>
      </c>
      <c r="E1" s="19" t="str">
        <f>Adatlap!H5</f>
        <v>2</v>
      </c>
      <c r="F1" s="19" t="str">
        <f>Adatlap!I5</f>
        <v>6</v>
      </c>
      <c r="G1" s="19" t="str">
        <f>Adatlap!J5</f>
        <v>8</v>
      </c>
      <c r="H1" s="18" t="str">
        <f>Adatlap!K5</f>
        <v>4</v>
      </c>
      <c r="I1" s="118" t="str">
        <f>Adatlap!L5</f>
        <v>9</v>
      </c>
      <c r="J1" s="19">
        <v>4</v>
      </c>
      <c r="K1" s="19">
        <v>9</v>
      </c>
      <c r="L1" s="117" t="str">
        <f>Adatlap!O5</f>
        <v>9</v>
      </c>
      <c r="M1" s="17" t="str">
        <f>Adatlap!P5</f>
        <v>5</v>
      </c>
      <c r="N1" s="19" t="str">
        <f>Adatlap!Q5</f>
        <v>2</v>
      </c>
      <c r="O1" s="18">
        <v>2</v>
      </c>
      <c r="P1" s="118" t="str">
        <f>Adatlap!S5</f>
        <v>0</v>
      </c>
      <c r="Q1" s="18" t="str">
        <f>Adatlap!T5</f>
        <v>1</v>
      </c>
      <c r="R1" s="1"/>
      <c r="S1" s="1"/>
      <c r="T1" s="1"/>
      <c r="U1" s="1"/>
      <c r="V1" s="1"/>
      <c r="W1" s="1"/>
      <c r="X1" s="1"/>
    </row>
    <row r="2" spans="1:25" ht="12.75">
      <c r="A2" s="2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</row>
    <row r="3" spans="1:25" ht="12.75">
      <c r="A3" s="1" t="s">
        <v>295</v>
      </c>
      <c r="B3" s="1"/>
      <c r="C3" s="1"/>
      <c r="D3" s="1"/>
      <c r="E3" s="1">
        <f>Adatlap!D12</f>
        <v>1565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" t="s">
        <v>298</v>
      </c>
      <c r="B4" s="1"/>
      <c r="C4" s="1"/>
      <c r="D4" s="1"/>
      <c r="E4" s="1"/>
      <c r="F4" t="str">
        <f>Adatlap!D13</f>
        <v>Pk.61670/1990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78" t="str">
        <f>Adatlap!D14</f>
        <v>Közhasznú szervezet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">
      <c r="A9" s="3"/>
      <c r="B9" s="4" t="str">
        <f>Adatlap!D3</f>
        <v>Budapesti Tájfutók Szövetsége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 t="s">
        <v>181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3"/>
      <c r="B13" s="5" t="str">
        <f>Adatlap!D4</f>
        <v>1053 Budapest, Curia u. 3.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 t="s">
        <v>182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>
      <c r="A19" s="70" t="str">
        <f>Adatlap!D10</f>
        <v>2012. december 31.</v>
      </c>
      <c r="B19" s="6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56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8" ht="26.25">
      <c r="A22" s="295" t="s">
        <v>220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8"/>
      <c r="W22" s="8"/>
      <c r="X22" s="8"/>
      <c r="Y22" s="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25" ht="21.75" customHeight="1">
      <c r="A23" s="1"/>
      <c r="B23" s="1"/>
      <c r="C23" s="1"/>
      <c r="D23" s="1"/>
      <c r="E23" s="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5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451" t="s">
        <v>107</v>
      </c>
      <c r="B26" s="451"/>
      <c r="C26" s="45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4:25" ht="12.7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452" t="s">
        <v>299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453" t="s">
        <v>300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293" t="s">
        <v>301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293"/>
      <c r="B31" s="293" t="s">
        <v>296</v>
      </c>
      <c r="C31" s="8"/>
      <c r="D31" s="8"/>
      <c r="E31" s="8"/>
      <c r="F31" s="8"/>
      <c r="G31" s="8"/>
      <c r="H31" s="8"/>
      <c r="I31" s="8"/>
      <c r="J31" s="8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293"/>
      <c r="B32" s="111" t="s">
        <v>271</v>
      </c>
      <c r="C32" s="8"/>
      <c r="D32" s="8"/>
      <c r="E32" s="8"/>
      <c r="F32" s="8"/>
      <c r="G32" s="8"/>
      <c r="H32" s="8"/>
      <c r="I32" s="8"/>
      <c r="J32" s="8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293"/>
      <c r="B33" s="111" t="s">
        <v>273</v>
      </c>
      <c r="C33" s="8"/>
      <c r="D33" s="8"/>
      <c r="E33" s="8"/>
      <c r="F33" s="8"/>
      <c r="G33" s="8"/>
      <c r="H33" s="8"/>
      <c r="I33" s="8"/>
      <c r="J33" s="8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2:25" ht="12.75">
      <c r="B34" s="293" t="s">
        <v>109</v>
      </c>
      <c r="C34" s="8"/>
      <c r="D34" s="8"/>
      <c r="E34" s="8"/>
      <c r="F34" s="8"/>
      <c r="G34" s="8"/>
      <c r="H34" s="8"/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2.75">
      <c r="B35" s="293" t="s">
        <v>110</v>
      </c>
      <c r="C35" s="9"/>
      <c r="D35" s="9"/>
      <c r="E35" s="9"/>
      <c r="F35" s="9"/>
      <c r="G35" s="9"/>
      <c r="H35" s="9"/>
      <c r="I35" s="9"/>
      <c r="J35" s="9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2:25" ht="12.75">
      <c r="B36" s="293" t="s">
        <v>108</v>
      </c>
      <c r="C36" s="8"/>
      <c r="D36" s="8"/>
      <c r="E36" s="8"/>
      <c r="F36" s="8"/>
      <c r="G36" s="8"/>
      <c r="H36" s="8"/>
      <c r="I36" s="8"/>
      <c r="J36" s="8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2:25" ht="12.75">
      <c r="B37" s="293" t="s">
        <v>147</v>
      </c>
      <c r="C37" s="8"/>
      <c r="D37" s="8"/>
      <c r="E37" s="8"/>
      <c r="F37" s="8"/>
      <c r="G37" s="8"/>
      <c r="H37" s="8"/>
      <c r="I37" s="8"/>
      <c r="J37" s="8"/>
      <c r="K37" s="8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3:25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" t="s">
        <v>15</v>
      </c>
      <c r="B44" s="1"/>
      <c r="C44" s="230" t="str">
        <f>Adatlap!D11</f>
        <v>Budapest, 2013. április 16.</v>
      </c>
      <c r="D44" s="7"/>
      <c r="E44" s="7"/>
      <c r="F44" s="7"/>
      <c r="G44" s="7"/>
      <c r="H44" s="7"/>
      <c r="I44" s="10"/>
      <c r="J44" s="1"/>
      <c r="K44" s="1"/>
      <c r="L44" s="3"/>
      <c r="M44" s="3"/>
      <c r="N44" s="3"/>
      <c r="O44" s="3"/>
      <c r="P44" s="3"/>
      <c r="Q44" s="3"/>
      <c r="R44" s="3"/>
      <c r="S44" s="3"/>
      <c r="T44" s="3"/>
      <c r="U44" s="1"/>
      <c r="V44" s="1"/>
      <c r="W44" s="1"/>
      <c r="X44" s="1"/>
      <c r="Y44" s="1"/>
    </row>
    <row r="45" spans="1:2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 t="s">
        <v>151</v>
      </c>
      <c r="M45" s="2"/>
      <c r="N45" s="2"/>
      <c r="O45" s="2"/>
      <c r="P45" s="2"/>
      <c r="Q45" s="2"/>
      <c r="R45" s="2"/>
      <c r="S45" s="2"/>
      <c r="T45" s="2"/>
      <c r="U45" s="1"/>
      <c r="V45" s="1"/>
      <c r="W45" s="1"/>
      <c r="X45" s="1"/>
      <c r="Y45" s="1"/>
    </row>
    <row r="46" spans="1:2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 t="s">
        <v>16</v>
      </c>
      <c r="M46" s="2"/>
      <c r="N46" s="2"/>
      <c r="O46" s="2"/>
      <c r="P46" s="2"/>
      <c r="Q46" s="2"/>
      <c r="R46" s="2"/>
      <c r="S46" s="2"/>
      <c r="T46" s="2"/>
      <c r="U46" s="1"/>
      <c r="V46" s="1"/>
      <c r="W46" s="1"/>
      <c r="X46" s="1"/>
      <c r="Y46" s="1"/>
    </row>
    <row r="47" spans="1:2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A49" s="1"/>
      <c r="B49" s="1"/>
      <c r="C49" s="1"/>
      <c r="D49" s="1"/>
      <c r="E49" s="1"/>
      <c r="F49" s="1"/>
      <c r="G49" s="1"/>
      <c r="H49" s="1"/>
      <c r="I49" s="1"/>
      <c r="J49" s="64" t="s">
        <v>20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 t="str">
        <f>IF(Adatlap!D15="Nem",Adatlap!F15," ")</f>
        <v>„A közzétett adatok könyvvizsgálattal nincsenek alátámasztva”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</sheetData>
  <sheetProtection/>
  <mergeCells count="3">
    <mergeCell ref="A26:C26"/>
    <mergeCell ref="A28:K28"/>
    <mergeCell ref="A29:M29"/>
  </mergeCells>
  <printOptions horizontalCentered="1"/>
  <pageMargins left="0.35433070866141736" right="0.35433070866141736" top="0.9055118110236221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2.375" style="0" customWidth="1"/>
    <col min="3" max="3" width="2.625" style="0" customWidth="1"/>
    <col min="4" max="14" width="4.75390625" style="0" customWidth="1"/>
    <col min="15" max="16" width="4.25390625" style="0" customWidth="1"/>
    <col min="17" max="18" width="3.875" style="0" customWidth="1"/>
    <col min="19" max="20" width="4.25390625" style="0" customWidth="1"/>
    <col min="21" max="21" width="2.375" style="0" customWidth="1"/>
    <col min="22" max="22" width="2.625" style="0" customWidth="1"/>
    <col min="23" max="23" width="4.25390625" style="0" customWidth="1"/>
    <col min="24" max="24" width="4.625" style="0" customWidth="1"/>
    <col min="25" max="25" width="8.75390625" style="0" customWidth="1"/>
  </cols>
  <sheetData>
    <row r="1" spans="1:22" ht="18.75" thickBot="1">
      <c r="A1" s="17" t="str">
        <f>Fedőlap!$A$1</f>
        <v>1</v>
      </c>
      <c r="B1" s="427" t="str">
        <f>Fedőlap!$B$1</f>
        <v>9</v>
      </c>
      <c r="C1" s="426"/>
      <c r="D1" s="19" t="str">
        <f>Fedőlap!$C$1</f>
        <v>6</v>
      </c>
      <c r="E1" s="19" t="str">
        <f>Fedőlap!$D$1</f>
        <v>2</v>
      </c>
      <c r="F1" s="19" t="str">
        <f>Fedőlap!$E$1</f>
        <v>2</v>
      </c>
      <c r="G1" s="19" t="str">
        <f>Fedőlap!$F$1</f>
        <v>6</v>
      </c>
      <c r="H1" s="19" t="str">
        <f>Fedőlap!$G$1</f>
        <v>8</v>
      </c>
      <c r="I1" s="18" t="str">
        <f>Fedőlap!$H$1</f>
        <v>4</v>
      </c>
      <c r="J1" s="17" t="str">
        <f>Fedőlap!$I$1</f>
        <v>9</v>
      </c>
      <c r="K1" s="19">
        <f>Fedőlap!$J$1</f>
        <v>4</v>
      </c>
      <c r="L1" s="19">
        <f>Fedőlap!K1</f>
        <v>9</v>
      </c>
      <c r="M1" s="117" t="str">
        <f>Fedőlap!L1</f>
        <v>9</v>
      </c>
      <c r="N1" s="17" t="str">
        <f>Fedőlap!M1</f>
        <v>5</v>
      </c>
      <c r="O1" s="19" t="str">
        <f>Fedőlap!N1</f>
        <v>2</v>
      </c>
      <c r="P1" s="18">
        <f>Fedőlap!O1</f>
        <v>2</v>
      </c>
      <c r="Q1" s="17" t="str">
        <f>Fedőlap!P1</f>
        <v>0</v>
      </c>
      <c r="R1" s="327" t="str">
        <f>Fedőlap!Q1</f>
        <v>1</v>
      </c>
      <c r="S1" s="1"/>
      <c r="T1" s="1"/>
      <c r="U1" s="1"/>
      <c r="V1" s="1"/>
    </row>
    <row r="2" spans="1:22" ht="12.75">
      <c r="A2" s="2" t="str">
        <f>Fedőlap!A2</f>
        <v>Statisztikai számjel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  <c r="U2" s="1"/>
      <c r="V2" s="1"/>
    </row>
    <row r="3" spans="1:22" ht="12.75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25" customHeight="1">
      <c r="A4" s="133" t="str">
        <f>Fedőlap!$B$9</f>
        <v>Budapesti Tájfutók Szövetsége</v>
      </c>
      <c r="B4" s="7"/>
      <c r="C4" s="7"/>
      <c r="D4" s="22"/>
      <c r="E4" s="7"/>
      <c r="F4" s="7"/>
      <c r="G4" s="7"/>
      <c r="H4" s="7"/>
      <c r="I4" s="7"/>
      <c r="J4" s="7"/>
      <c r="K4" s="7"/>
      <c r="L4" s="7"/>
      <c r="M4" s="7"/>
      <c r="N4" s="3"/>
      <c r="O4" s="1"/>
      <c r="P4" s="1"/>
      <c r="Q4" s="1"/>
      <c r="R4" s="1"/>
      <c r="S4" s="1"/>
      <c r="T4" s="1"/>
      <c r="U4" s="1"/>
      <c r="V4" s="1"/>
    </row>
    <row r="5" spans="1:22" ht="12.75">
      <c r="A5" s="2" t="str">
        <f>Fedőlap!A28</f>
        <v>- Egyszerűsített éves beszámoló MÉRLEGE 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2"/>
      <c r="B6" s="2"/>
      <c r="C6" s="2"/>
      <c r="D6" s="2"/>
      <c r="E6" s="2"/>
      <c r="F6" s="2"/>
      <c r="G6" s="156" t="str">
        <f>Fedőlap!A19</f>
        <v>2012. december 31.</v>
      </c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  <c r="U6" s="1"/>
      <c r="V6" s="1"/>
    </row>
    <row r="7" spans="1:22" ht="13.5" thickBot="1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V7" s="23" t="s">
        <v>131</v>
      </c>
    </row>
    <row r="8" spans="1:22" ht="30" customHeight="1" thickBot="1">
      <c r="A8" s="425" t="s">
        <v>21</v>
      </c>
      <c r="B8" s="422"/>
      <c r="C8" s="24"/>
      <c r="D8" s="25"/>
      <c r="E8" s="25"/>
      <c r="F8" s="25"/>
      <c r="G8" s="25"/>
      <c r="H8" s="25"/>
      <c r="I8" s="26" t="s">
        <v>18</v>
      </c>
      <c r="J8" s="25"/>
      <c r="K8" s="25"/>
      <c r="L8" s="25"/>
      <c r="M8" s="25"/>
      <c r="N8" s="32"/>
      <c r="O8" s="296" t="s">
        <v>19</v>
      </c>
      <c r="P8" s="97"/>
      <c r="Q8" s="97"/>
      <c r="R8" s="98"/>
      <c r="S8" s="298" t="s">
        <v>22</v>
      </c>
      <c r="T8" s="297"/>
      <c r="U8" s="297"/>
      <c r="V8" s="299"/>
    </row>
    <row r="9" spans="1:22" ht="21.75" customHeight="1" thickBot="1">
      <c r="A9" s="41">
        <v>1</v>
      </c>
      <c r="B9" s="42" t="s">
        <v>43</v>
      </c>
      <c r="C9" s="43" t="s">
        <v>175</v>
      </c>
      <c r="D9" s="44"/>
      <c r="E9" s="44"/>
      <c r="F9" s="44"/>
      <c r="G9" s="44"/>
      <c r="H9" s="14"/>
      <c r="I9" s="14"/>
      <c r="J9" s="14"/>
      <c r="K9" s="14"/>
      <c r="L9" s="14"/>
      <c r="M9" s="45"/>
      <c r="N9" s="46"/>
      <c r="O9" s="456">
        <f>ÉVEK2011TŐL!D81</f>
        <v>0</v>
      </c>
      <c r="P9" s="457"/>
      <c r="Q9" s="457"/>
      <c r="R9" s="129"/>
      <c r="S9" s="456">
        <f>ÉVEK2011TŐL!E81</f>
        <v>0</v>
      </c>
      <c r="T9" s="457"/>
      <c r="U9" s="457"/>
      <c r="V9" s="130"/>
    </row>
    <row r="10" spans="1:22" ht="21.75" customHeight="1">
      <c r="A10" s="158">
        <v>2</v>
      </c>
      <c r="B10" s="159" t="s">
        <v>43</v>
      </c>
      <c r="C10" s="38" t="s">
        <v>36</v>
      </c>
      <c r="D10" s="39"/>
      <c r="E10" s="39"/>
      <c r="F10" s="39"/>
      <c r="G10" s="39"/>
      <c r="H10" s="3"/>
      <c r="I10" s="3"/>
      <c r="J10" s="3"/>
      <c r="K10" s="3"/>
      <c r="L10" s="3"/>
      <c r="M10" s="39"/>
      <c r="N10" s="40"/>
      <c r="O10" s="454">
        <f>IF(ÉVEK2011TŐL!D82=0,"",ÉVEK2011TŐL!D82)</f>
      </c>
      <c r="P10" s="455"/>
      <c r="Q10" s="455"/>
      <c r="R10" s="67"/>
      <c r="S10" s="454">
        <f>IF(ÉVEK2011TŐL!E82=0,"",ÉVEK2011TŐL!E82)</f>
      </c>
      <c r="T10" s="455"/>
      <c r="U10" s="455"/>
      <c r="V10" s="60"/>
    </row>
    <row r="11" spans="1:22" ht="21.75" customHeight="1">
      <c r="A11" s="160">
        <v>3</v>
      </c>
      <c r="B11" s="157" t="s">
        <v>43</v>
      </c>
      <c r="C11" s="35" t="s">
        <v>37</v>
      </c>
      <c r="D11" s="33"/>
      <c r="E11" s="11"/>
      <c r="F11" s="33"/>
      <c r="G11" s="33"/>
      <c r="H11" s="11"/>
      <c r="I11" s="11"/>
      <c r="J11" s="11"/>
      <c r="K11" s="11"/>
      <c r="L11" s="11"/>
      <c r="M11" s="33"/>
      <c r="N11" s="34"/>
      <c r="O11" s="454">
        <f>IF(ÉVEK2011TŐL!D83=0,"",ÉVEK2011TŐL!D83)</f>
      </c>
      <c r="P11" s="455"/>
      <c r="Q11" s="455"/>
      <c r="R11" s="13"/>
      <c r="S11" s="454">
        <f>IF(ÉVEK2011TŐL!E83=0,"",ÉVEK2011TŐL!E83)</f>
      </c>
      <c r="T11" s="455"/>
      <c r="U11" s="455"/>
      <c r="V11" s="12"/>
    </row>
    <row r="12" spans="1:22" ht="21.75" customHeight="1" thickBot="1">
      <c r="A12" s="160">
        <v>4</v>
      </c>
      <c r="B12" s="157" t="s">
        <v>43</v>
      </c>
      <c r="C12" s="35" t="s">
        <v>38</v>
      </c>
      <c r="D12" s="33"/>
      <c r="E12" s="11"/>
      <c r="F12" s="33"/>
      <c r="G12" s="33"/>
      <c r="H12" s="11"/>
      <c r="I12" s="11"/>
      <c r="J12" s="11"/>
      <c r="K12" s="11"/>
      <c r="L12" s="11"/>
      <c r="M12" s="33"/>
      <c r="N12" s="34"/>
      <c r="O12" s="462">
        <f>IF(ÉVEK2011TŐL!D84=0,"",ÉVEK2011TŐL!D84)</f>
      </c>
      <c r="P12" s="463"/>
      <c r="Q12" s="463"/>
      <c r="R12" s="78"/>
      <c r="S12" s="462">
        <f>IF(ÉVEK2011TŐL!E84=0,"",ÉVEK2011TŐL!E84)</f>
      </c>
      <c r="T12" s="463"/>
      <c r="U12" s="463"/>
      <c r="V12" s="12"/>
    </row>
    <row r="13" spans="1:22" ht="21.75" customHeight="1" thickBot="1">
      <c r="A13" s="51">
        <v>5</v>
      </c>
      <c r="B13" s="52" t="s">
        <v>43</v>
      </c>
      <c r="C13" s="43" t="s">
        <v>176</v>
      </c>
      <c r="D13" s="14"/>
      <c r="E13" s="44"/>
      <c r="F13" s="44"/>
      <c r="G13" s="44"/>
      <c r="H13" s="14"/>
      <c r="I13" s="14"/>
      <c r="J13" s="14"/>
      <c r="K13" s="14"/>
      <c r="L13" s="14"/>
      <c r="M13" s="44"/>
      <c r="N13" s="46"/>
      <c r="O13" s="456">
        <f>ÉVEK2011TŐL!D85</f>
        <v>2027</v>
      </c>
      <c r="P13" s="457"/>
      <c r="Q13" s="457"/>
      <c r="R13" s="131"/>
      <c r="S13" s="456">
        <f>ÉVEK2011TŐL!E85</f>
        <v>1300</v>
      </c>
      <c r="T13" s="457"/>
      <c r="U13" s="457"/>
      <c r="V13" s="15"/>
    </row>
    <row r="14" spans="1:22" ht="21.75" customHeight="1">
      <c r="A14" s="158">
        <v>6</v>
      </c>
      <c r="B14" s="159" t="s">
        <v>43</v>
      </c>
      <c r="C14" s="38" t="s">
        <v>39</v>
      </c>
      <c r="D14" s="39"/>
      <c r="E14" s="3"/>
      <c r="F14" s="39"/>
      <c r="G14" s="39"/>
      <c r="H14" s="3"/>
      <c r="I14" s="3"/>
      <c r="J14" s="3"/>
      <c r="K14" s="3"/>
      <c r="L14" s="3"/>
      <c r="M14" s="39"/>
      <c r="N14" s="40"/>
      <c r="O14" s="454">
        <f>IF(ÉVEK2011TŐL!D86=0,"",ÉVEK2011TŐL!D86)</f>
      </c>
      <c r="P14" s="455"/>
      <c r="Q14" s="455"/>
      <c r="R14" s="59"/>
      <c r="S14" s="454">
        <f>IF(ÉVEK2011TŐL!E86=0,"",ÉVEK2011TŐL!E86)</f>
      </c>
      <c r="T14" s="455"/>
      <c r="U14" s="455"/>
      <c r="V14" s="60"/>
    </row>
    <row r="15" spans="1:22" ht="21.75" customHeight="1">
      <c r="A15" s="160">
        <v>7</v>
      </c>
      <c r="B15" s="157" t="s">
        <v>43</v>
      </c>
      <c r="C15" s="35" t="s">
        <v>40</v>
      </c>
      <c r="D15" s="33"/>
      <c r="E15" s="11"/>
      <c r="F15" s="33"/>
      <c r="G15" s="33"/>
      <c r="H15" s="11"/>
      <c r="I15" s="11"/>
      <c r="J15" s="11"/>
      <c r="K15" s="11"/>
      <c r="L15" s="11"/>
      <c r="M15" s="33"/>
      <c r="N15" s="34"/>
      <c r="O15" s="454">
        <f>IF(ÉVEK2011TŐL!D87=0,"",ÉVEK2011TŐL!D87)</f>
        <v>32</v>
      </c>
      <c r="P15" s="455"/>
      <c r="Q15" s="455"/>
      <c r="R15" s="13"/>
      <c r="S15" s="454">
        <f>IF(ÉVEK2011TŐL!E87=0,"",ÉVEK2011TŐL!E87)</f>
        <v>24</v>
      </c>
      <c r="T15" s="455"/>
      <c r="U15" s="455"/>
      <c r="V15" s="12"/>
    </row>
    <row r="16" spans="1:22" ht="21.75" customHeight="1">
      <c r="A16" s="160">
        <v>8</v>
      </c>
      <c r="B16" s="157" t="s">
        <v>43</v>
      </c>
      <c r="C16" s="35" t="s">
        <v>41</v>
      </c>
      <c r="D16" s="33"/>
      <c r="E16" s="11"/>
      <c r="F16" s="33"/>
      <c r="G16" s="33"/>
      <c r="H16" s="11"/>
      <c r="I16" s="11"/>
      <c r="J16" s="11"/>
      <c r="K16" s="11"/>
      <c r="L16" s="11"/>
      <c r="M16" s="33"/>
      <c r="N16" s="34"/>
      <c r="O16" s="454">
        <f>IF(ÉVEK2011TŐL!D88=0,"",ÉVEK2011TŐL!D88)</f>
      </c>
      <c r="P16" s="455"/>
      <c r="Q16" s="455"/>
      <c r="R16" s="13"/>
      <c r="S16" s="454">
        <f>IF(ÉVEK2011TŐL!E88=0,"",ÉVEK2011TŐL!E88)</f>
      </c>
      <c r="T16" s="455"/>
      <c r="U16" s="455"/>
      <c r="V16" s="12"/>
    </row>
    <row r="17" spans="1:22" ht="21.75" customHeight="1" thickBot="1">
      <c r="A17" s="161">
        <v>9</v>
      </c>
      <c r="B17" s="162" t="s">
        <v>43</v>
      </c>
      <c r="C17" s="75" t="s">
        <v>42</v>
      </c>
      <c r="D17" s="72"/>
      <c r="E17" s="76"/>
      <c r="F17" s="72"/>
      <c r="G17" s="72"/>
      <c r="H17" s="76"/>
      <c r="I17" s="76"/>
      <c r="J17" s="76"/>
      <c r="K17" s="76"/>
      <c r="L17" s="76"/>
      <c r="M17" s="72"/>
      <c r="N17" s="77"/>
      <c r="O17" s="462">
        <f>IF(ÉVEK2011TŐL!D89=0,"",ÉVEK2011TŐL!D89)</f>
        <v>1995</v>
      </c>
      <c r="P17" s="463"/>
      <c r="Q17" s="463"/>
      <c r="R17" s="78"/>
      <c r="S17" s="462">
        <f>IF(ÉVEK2011TŐL!E89=0,"",ÉVEK2011TŐL!E89)</f>
        <v>1276</v>
      </c>
      <c r="T17" s="463"/>
      <c r="U17" s="463"/>
      <c r="V17" s="79"/>
    </row>
    <row r="18" spans="1:22" ht="21.75" customHeight="1" thickBot="1">
      <c r="A18" s="73">
        <v>10</v>
      </c>
      <c r="B18" s="74" t="s">
        <v>43</v>
      </c>
      <c r="C18" s="113" t="s">
        <v>145</v>
      </c>
      <c r="D18" s="72"/>
      <c r="E18" s="76"/>
      <c r="F18" s="72"/>
      <c r="G18" s="72"/>
      <c r="H18" s="76"/>
      <c r="I18" s="76"/>
      <c r="J18" s="76"/>
      <c r="K18" s="76"/>
      <c r="L18" s="76"/>
      <c r="M18" s="72"/>
      <c r="N18" s="77"/>
      <c r="O18" s="456">
        <f>ÉVEK2011TŐL!D90</f>
        <v>0</v>
      </c>
      <c r="P18" s="457"/>
      <c r="Q18" s="457"/>
      <c r="R18" s="78"/>
      <c r="S18" s="456">
        <f>ÉVEK2011TŐL!E90</f>
        <v>0</v>
      </c>
      <c r="T18" s="457"/>
      <c r="U18" s="457"/>
      <c r="V18" s="79"/>
    </row>
    <row r="19" spans="1:22" ht="15.75" customHeight="1" thickBot="1">
      <c r="A19" s="100"/>
      <c r="B19" s="37"/>
      <c r="C19" s="30"/>
      <c r="D19" s="31"/>
      <c r="E19" s="29"/>
      <c r="F19" s="29"/>
      <c r="G19" s="29"/>
      <c r="H19" s="10"/>
      <c r="I19" s="10"/>
      <c r="J19" s="10"/>
      <c r="K19" s="10"/>
      <c r="L19" s="10"/>
      <c r="M19" s="29"/>
      <c r="N19" s="29"/>
      <c r="O19" s="456"/>
      <c r="P19" s="457"/>
      <c r="Q19" s="457"/>
      <c r="R19" s="132"/>
      <c r="S19" s="125"/>
      <c r="T19" s="132"/>
      <c r="U19" s="125"/>
      <c r="V19" s="57"/>
    </row>
    <row r="20" spans="1:22" ht="21.75" customHeight="1" thickBot="1">
      <c r="A20" s="54">
        <v>11</v>
      </c>
      <c r="B20" s="52" t="s">
        <v>43</v>
      </c>
      <c r="C20" s="55" t="s">
        <v>177</v>
      </c>
      <c r="D20" s="56"/>
      <c r="E20" s="44"/>
      <c r="F20" s="44"/>
      <c r="G20" s="44"/>
      <c r="H20" s="14"/>
      <c r="I20" s="14"/>
      <c r="J20" s="14"/>
      <c r="K20" s="14"/>
      <c r="L20" s="14"/>
      <c r="M20" s="44"/>
      <c r="N20" s="46"/>
      <c r="O20" s="456">
        <f>ÉVEK2011TŐL!D91</f>
        <v>2027</v>
      </c>
      <c r="P20" s="457"/>
      <c r="Q20" s="457"/>
      <c r="R20" s="131"/>
      <c r="S20" s="456">
        <f>ÉVEK2011TŐL!E91</f>
        <v>1300</v>
      </c>
      <c r="T20" s="457"/>
      <c r="U20" s="457"/>
      <c r="V20" s="15"/>
    </row>
    <row r="21" spans="1:22" ht="21" customHeight="1" thickBot="1">
      <c r="A21" s="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O21" s="110"/>
      <c r="P21" s="110"/>
      <c r="Q21" s="110"/>
      <c r="R21" s="110"/>
      <c r="S21" s="110"/>
      <c r="T21" s="110"/>
      <c r="U21" s="110"/>
      <c r="V21" s="23"/>
    </row>
    <row r="22" spans="1:22" s="1" customFormat="1" ht="21.75" customHeight="1" thickBot="1">
      <c r="A22" s="41">
        <v>12</v>
      </c>
      <c r="B22" s="42" t="s">
        <v>43</v>
      </c>
      <c r="C22" s="43" t="s">
        <v>178</v>
      </c>
      <c r="D22" s="44"/>
      <c r="E22" s="44"/>
      <c r="F22" s="44"/>
      <c r="G22" s="44"/>
      <c r="H22" s="14"/>
      <c r="I22" s="14"/>
      <c r="J22" s="14"/>
      <c r="K22" s="14"/>
      <c r="L22" s="14"/>
      <c r="M22" s="45"/>
      <c r="N22" s="46"/>
      <c r="O22" s="460">
        <f>ÉVEK2011TŐL!D93</f>
        <v>2027</v>
      </c>
      <c r="P22" s="428"/>
      <c r="Q22" s="428"/>
      <c r="R22" s="129"/>
      <c r="S22" s="456">
        <f>ÉVEK2011TŐL!E93</f>
        <v>743</v>
      </c>
      <c r="T22" s="457"/>
      <c r="U22" s="457"/>
      <c r="V22" s="15"/>
    </row>
    <row r="23" spans="1:22" s="1" customFormat="1" ht="21.75" customHeight="1">
      <c r="A23" s="158">
        <v>13</v>
      </c>
      <c r="B23" s="159" t="s">
        <v>43</v>
      </c>
      <c r="C23" s="38" t="s">
        <v>56</v>
      </c>
      <c r="D23" s="39"/>
      <c r="E23" s="39"/>
      <c r="F23" s="39"/>
      <c r="G23" s="39"/>
      <c r="H23" s="3"/>
      <c r="I23" s="3"/>
      <c r="J23" s="3"/>
      <c r="K23" s="3"/>
      <c r="L23" s="3"/>
      <c r="M23" s="39"/>
      <c r="N23" s="40"/>
      <c r="O23" s="467">
        <f>IF(ÉVEK2011TŐL!D94=0,"",ÉVEK2011TŐL!D94)</f>
        <v>693</v>
      </c>
      <c r="P23" s="469"/>
      <c r="Q23" s="469"/>
      <c r="R23" s="67"/>
      <c r="S23" s="467">
        <f>IF(ÉVEK2011TŐL!E94=0,"",ÉVEK2011TŐL!E94)</f>
        <v>693</v>
      </c>
      <c r="T23" s="468"/>
      <c r="U23" s="468"/>
      <c r="V23" s="60"/>
    </row>
    <row r="24" spans="1:22" s="1" customFormat="1" ht="21.75" customHeight="1">
      <c r="A24" s="160">
        <v>14</v>
      </c>
      <c r="B24" s="157" t="s">
        <v>43</v>
      </c>
      <c r="C24" s="35" t="s">
        <v>118</v>
      </c>
      <c r="D24" s="33"/>
      <c r="E24" s="11"/>
      <c r="F24" s="33"/>
      <c r="G24" s="33"/>
      <c r="H24" s="11"/>
      <c r="I24" s="11"/>
      <c r="J24" s="11"/>
      <c r="K24" s="11"/>
      <c r="L24" s="11"/>
      <c r="M24" s="33"/>
      <c r="N24" s="34"/>
      <c r="O24" s="458">
        <f>IF(ÉVEK2011TŐL!D95=0,"",ÉVEK2011TŐL!D95)</f>
        <v>2012</v>
      </c>
      <c r="P24" s="429"/>
      <c r="Q24" s="429"/>
      <c r="R24" s="13"/>
      <c r="S24" s="458">
        <f>IF(ÉVEK2011TŐL!E95=0,"",ÉVEK2011TŐL!E95)</f>
        <v>1334</v>
      </c>
      <c r="T24" s="459"/>
      <c r="U24" s="459"/>
      <c r="V24" s="12"/>
    </row>
    <row r="25" spans="1:22" s="1" customFormat="1" ht="21.75" customHeight="1">
      <c r="A25" s="160">
        <v>15</v>
      </c>
      <c r="B25" s="157" t="s">
        <v>43</v>
      </c>
      <c r="C25" s="35" t="s">
        <v>112</v>
      </c>
      <c r="D25" s="33"/>
      <c r="E25" s="11"/>
      <c r="F25" s="33"/>
      <c r="G25" s="33"/>
      <c r="H25" s="11"/>
      <c r="I25" s="11"/>
      <c r="J25" s="11"/>
      <c r="K25" s="11"/>
      <c r="L25" s="11"/>
      <c r="M25" s="33"/>
      <c r="N25" s="34"/>
      <c r="O25" s="458">
        <f>IF(ÉVEK2011TŐL!D96=0,"",ÉVEK2011TŐL!D96)</f>
      </c>
      <c r="P25" s="429"/>
      <c r="Q25" s="429"/>
      <c r="R25" s="13"/>
      <c r="S25" s="423">
        <f>IF(ÉVEK2011TŐL!E96=0,"",ÉVEK2011TŐL!E96)</f>
      </c>
      <c r="T25" s="464"/>
      <c r="U25" s="464"/>
      <c r="V25" s="12"/>
    </row>
    <row r="26" spans="1:22" s="1" customFormat="1" ht="21.75" customHeight="1">
      <c r="A26" s="160">
        <v>16</v>
      </c>
      <c r="B26" s="157" t="s">
        <v>43</v>
      </c>
      <c r="C26" s="35" t="s">
        <v>113</v>
      </c>
      <c r="D26" s="33"/>
      <c r="E26" s="11"/>
      <c r="F26" s="33"/>
      <c r="G26" s="33"/>
      <c r="H26" s="11"/>
      <c r="I26" s="11"/>
      <c r="J26" s="11"/>
      <c r="K26" s="11"/>
      <c r="L26" s="11"/>
      <c r="M26" s="33"/>
      <c r="N26" s="34"/>
      <c r="O26" s="423">
        <f>IF(ÉVEK2011TŐL!D97=0,"",ÉVEK2011TŐL!D97)</f>
      </c>
      <c r="P26" s="424"/>
      <c r="Q26" s="424"/>
      <c r="R26" s="13"/>
      <c r="S26" s="458">
        <f>IF(ÉVEK2011TŐL!E97=0,"",ÉVEK2011TŐL!E97)</f>
      </c>
      <c r="T26" s="459"/>
      <c r="U26" s="459"/>
      <c r="V26" s="12"/>
    </row>
    <row r="27" spans="1:22" s="1" customFormat="1" ht="21.75" customHeight="1">
      <c r="A27" s="160">
        <v>17</v>
      </c>
      <c r="B27" s="157" t="s">
        <v>43</v>
      </c>
      <c r="C27" s="35" t="s">
        <v>114</v>
      </c>
      <c r="D27" s="33"/>
      <c r="E27" s="11"/>
      <c r="F27" s="33"/>
      <c r="G27" s="33"/>
      <c r="H27" s="11"/>
      <c r="I27" s="11"/>
      <c r="J27" s="11"/>
      <c r="K27" s="11"/>
      <c r="L27" s="11"/>
      <c r="M27" s="33"/>
      <c r="N27" s="34"/>
      <c r="O27" s="423">
        <f>IF(ÉVEK2011TŐL!D98=0,"",ÉVEK2011TŐL!D98)</f>
        <v>-938</v>
      </c>
      <c r="P27" s="424"/>
      <c r="Q27" s="424"/>
      <c r="R27" s="13"/>
      <c r="S27" s="423">
        <f>IF(ÉVEK2011TŐL!E98=0,"",ÉVEK2011TŐL!E98)</f>
        <v>-1284</v>
      </c>
      <c r="T27" s="464"/>
      <c r="U27" s="464"/>
      <c r="V27" s="12"/>
    </row>
    <row r="28" spans="1:22" s="1" customFormat="1" ht="21.75" customHeight="1" thickBot="1">
      <c r="A28" s="163">
        <v>18</v>
      </c>
      <c r="B28" s="164" t="s">
        <v>43</v>
      </c>
      <c r="C28" s="35" t="s">
        <v>173</v>
      </c>
      <c r="D28" s="49"/>
      <c r="E28" s="48"/>
      <c r="F28" s="49"/>
      <c r="G28" s="49"/>
      <c r="H28" s="48"/>
      <c r="I28" s="48"/>
      <c r="J28" s="48"/>
      <c r="K28" s="48"/>
      <c r="L28" s="48"/>
      <c r="M28" s="49"/>
      <c r="N28" s="50"/>
      <c r="O28" s="423">
        <f>IF(ÉVEK2011TŐL!D99=0,"",ÉVEK2011TŐL!D99)</f>
        <v>260</v>
      </c>
      <c r="P28" s="424"/>
      <c r="Q28" s="424"/>
      <c r="R28" s="58"/>
      <c r="S28" s="465">
        <f>ÉVEK2011TŐL!E99</f>
        <v>0</v>
      </c>
      <c r="T28" s="466"/>
      <c r="U28" s="466"/>
      <c r="V28" s="61"/>
    </row>
    <row r="29" spans="1:22" s="10" customFormat="1" ht="21.75" customHeight="1" thickBot="1">
      <c r="A29" s="51">
        <v>19</v>
      </c>
      <c r="B29" s="52" t="s">
        <v>43</v>
      </c>
      <c r="C29" s="43" t="s">
        <v>57</v>
      </c>
      <c r="D29" s="14"/>
      <c r="E29" s="44"/>
      <c r="F29" s="44"/>
      <c r="G29" s="44"/>
      <c r="H29" s="14"/>
      <c r="I29" s="14"/>
      <c r="J29" s="14"/>
      <c r="K29" s="14"/>
      <c r="L29" s="14"/>
      <c r="M29" s="44"/>
      <c r="N29" s="46"/>
      <c r="O29" s="460">
        <f>ÉVEK2011TŐL!D100</f>
        <v>0</v>
      </c>
      <c r="P29" s="428"/>
      <c r="Q29" s="428"/>
      <c r="R29" s="66"/>
      <c r="S29" s="456">
        <f>ÉVEK2011TŐL!E100</f>
        <v>0</v>
      </c>
      <c r="T29" s="457"/>
      <c r="U29" s="457"/>
      <c r="V29" s="15"/>
    </row>
    <row r="30" spans="1:22" s="10" customFormat="1" ht="21.75" customHeight="1" thickBot="1">
      <c r="A30" s="51">
        <v>20</v>
      </c>
      <c r="B30" s="52" t="s">
        <v>43</v>
      </c>
      <c r="C30" s="43" t="s">
        <v>179</v>
      </c>
      <c r="D30" s="14"/>
      <c r="E30" s="53"/>
      <c r="F30" s="44"/>
      <c r="G30" s="44"/>
      <c r="H30" s="14"/>
      <c r="I30" s="14"/>
      <c r="J30" s="14"/>
      <c r="K30" s="14"/>
      <c r="L30" s="14"/>
      <c r="M30" s="44"/>
      <c r="N30" s="46"/>
      <c r="O30" s="460">
        <f>ÉVEK2011TŐL!D101</f>
        <v>0</v>
      </c>
      <c r="P30" s="428"/>
      <c r="Q30" s="428"/>
      <c r="R30" s="66"/>
      <c r="S30" s="456">
        <f>ÉVEK2011TŐL!E101</f>
        <v>0</v>
      </c>
      <c r="T30" s="457"/>
      <c r="U30" s="457"/>
      <c r="V30" s="15"/>
    </row>
    <row r="31" spans="1:22" s="1" customFormat="1" ht="21.75" customHeight="1">
      <c r="A31" s="158">
        <v>21</v>
      </c>
      <c r="B31" s="159" t="s">
        <v>43</v>
      </c>
      <c r="C31" s="38" t="s">
        <v>116</v>
      </c>
      <c r="D31" s="39"/>
      <c r="E31" s="3"/>
      <c r="F31" s="39"/>
      <c r="G31" s="39"/>
      <c r="H31" s="3"/>
      <c r="I31" s="3"/>
      <c r="J31" s="3"/>
      <c r="K31" s="3"/>
      <c r="L31" s="3"/>
      <c r="M31" s="39"/>
      <c r="N31" s="40"/>
      <c r="O31" s="467">
        <f>IF(ÉVEK2011TŐL!D102=0,"",ÉVEK2011TŐL!D102)</f>
      </c>
      <c r="P31" s="469"/>
      <c r="Q31" s="469"/>
      <c r="R31" s="59"/>
      <c r="S31" s="467">
        <f>IF(ÉVEK2011TŐL!E102=0,"",ÉVEK2011TŐL!E102)</f>
      </c>
      <c r="T31" s="468"/>
      <c r="U31" s="468"/>
      <c r="V31" s="60"/>
    </row>
    <row r="32" spans="1:22" s="1" customFormat="1" ht="21.75" customHeight="1">
      <c r="A32" s="165">
        <v>22</v>
      </c>
      <c r="B32" s="166" t="s">
        <v>43</v>
      </c>
      <c r="C32" s="122" t="s">
        <v>115</v>
      </c>
      <c r="D32" s="29"/>
      <c r="E32" s="10"/>
      <c r="F32" s="29"/>
      <c r="G32" s="29"/>
      <c r="H32" s="10"/>
      <c r="I32" s="10"/>
      <c r="J32" s="10"/>
      <c r="K32" s="10"/>
      <c r="L32" s="10"/>
      <c r="M32" s="29"/>
      <c r="N32" s="123"/>
      <c r="O32" s="458">
        <f>IF(ÉVEK2011TŐL!D103=0,"",ÉVEK2011TŐL!D103)</f>
      </c>
      <c r="P32" s="429"/>
      <c r="Q32" s="429"/>
      <c r="R32" s="124"/>
      <c r="S32" s="458">
        <f>IF(ÉVEK2011TŐL!E103=0,"",ÉVEK2011TŐL!E103)</f>
      </c>
      <c r="T32" s="459"/>
      <c r="U32" s="459"/>
      <c r="V32" s="57"/>
    </row>
    <row r="33" spans="1:22" s="1" customFormat="1" ht="21.75" customHeight="1" thickBot="1">
      <c r="A33" s="161">
        <v>23</v>
      </c>
      <c r="B33" s="162" t="s">
        <v>43</v>
      </c>
      <c r="C33" s="75" t="s">
        <v>117</v>
      </c>
      <c r="D33" s="72"/>
      <c r="E33" s="76"/>
      <c r="F33" s="72"/>
      <c r="G33" s="72"/>
      <c r="H33" s="76"/>
      <c r="I33" s="76"/>
      <c r="J33" s="76"/>
      <c r="K33" s="76"/>
      <c r="L33" s="76"/>
      <c r="M33" s="72"/>
      <c r="N33" s="77"/>
      <c r="O33" s="423">
        <f>IF(ÉVEK2011TŐL!D104=0,"",ÉVEK2011TŐL!D104)</f>
      </c>
      <c r="P33" s="424"/>
      <c r="Q33" s="424"/>
      <c r="R33" s="78"/>
      <c r="S33" s="465">
        <f>IF(ÉVEK2011TŐL!E104=0,"",ÉVEK2011TŐL!E104)</f>
      </c>
      <c r="T33" s="466"/>
      <c r="U33" s="466"/>
      <c r="V33" s="79"/>
    </row>
    <row r="34" spans="1:22" s="1" customFormat="1" ht="21.75" customHeight="1" thickBot="1">
      <c r="A34" s="73">
        <v>24</v>
      </c>
      <c r="B34" s="74" t="s">
        <v>43</v>
      </c>
      <c r="C34" s="113" t="s">
        <v>146</v>
      </c>
      <c r="D34" s="72"/>
      <c r="E34" s="76"/>
      <c r="F34" s="72"/>
      <c r="G34" s="72"/>
      <c r="H34" s="76"/>
      <c r="I34" s="76"/>
      <c r="J34" s="76"/>
      <c r="K34" s="76"/>
      <c r="L34" s="76"/>
      <c r="M34" s="72"/>
      <c r="N34" s="77"/>
      <c r="O34" s="460">
        <f>ÉVEK2011TŐL!D105</f>
        <v>0</v>
      </c>
      <c r="P34" s="428"/>
      <c r="Q34" s="428"/>
      <c r="R34" s="78"/>
      <c r="S34" s="456">
        <f>ÉVEK2011TŐL!E105</f>
        <v>557</v>
      </c>
      <c r="T34" s="457"/>
      <c r="U34" s="457"/>
      <c r="V34" s="79"/>
    </row>
    <row r="35" ht="12.75">
      <c r="A35" s="99"/>
    </row>
    <row r="36" spans="1:22" s="10" customFormat="1" ht="10.5" customHeight="1" thickBot="1">
      <c r="A36" s="80"/>
      <c r="B36" s="80"/>
      <c r="C36" s="81"/>
      <c r="D36" s="82"/>
      <c r="E36" s="83"/>
      <c r="F36" s="83"/>
      <c r="G36" s="83"/>
      <c r="H36" s="84"/>
      <c r="I36" s="84"/>
      <c r="J36" s="84"/>
      <c r="K36" s="84"/>
      <c r="L36" s="84"/>
      <c r="M36" s="83"/>
      <c r="N36" s="83"/>
      <c r="O36" s="85"/>
      <c r="P36" s="85"/>
      <c r="Q36" s="86"/>
      <c r="R36" s="87"/>
      <c r="S36" s="86"/>
      <c r="T36" s="87"/>
      <c r="U36" s="86"/>
      <c r="V36" s="84"/>
    </row>
    <row r="37" spans="1:22" s="1" customFormat="1" ht="19.5" customHeight="1" thickBot="1">
      <c r="A37" s="54">
        <v>25</v>
      </c>
      <c r="B37" s="52" t="s">
        <v>43</v>
      </c>
      <c r="C37" s="55" t="s">
        <v>180</v>
      </c>
      <c r="D37" s="56"/>
      <c r="E37" s="44"/>
      <c r="F37" s="44"/>
      <c r="G37" s="44"/>
      <c r="H37" s="14"/>
      <c r="I37" s="14"/>
      <c r="J37" s="14"/>
      <c r="K37" s="14"/>
      <c r="L37" s="14"/>
      <c r="M37" s="44"/>
      <c r="N37" s="46"/>
      <c r="O37" s="460">
        <f>ÉVEK2011TŐL!D106</f>
        <v>2027</v>
      </c>
      <c r="P37" s="461"/>
      <c r="Q37" s="461"/>
      <c r="R37" s="66"/>
      <c r="S37" s="460">
        <f>ÉVEK2011TŐL!E106</f>
        <v>1300</v>
      </c>
      <c r="T37" s="428"/>
      <c r="U37" s="428"/>
      <c r="V37" s="15"/>
    </row>
    <row r="38" spans="1:22" ht="30.75" customHeight="1">
      <c r="A38" s="28" t="s">
        <v>15</v>
      </c>
      <c r="B38" s="28"/>
      <c r="C38" s="28"/>
      <c r="D38" s="230" t="str">
        <f>Fedőlap!C44</f>
        <v>Budapest, 2013. április 16.</v>
      </c>
      <c r="E38" s="65"/>
      <c r="F38" s="22"/>
      <c r="G38" s="22"/>
      <c r="H38" s="22"/>
      <c r="I38" s="22"/>
      <c r="J38" s="22"/>
      <c r="K38" s="232"/>
      <c r="L38" s="232"/>
      <c r="M38" s="28"/>
      <c r="N38" s="28"/>
      <c r="P38" s="62"/>
      <c r="Q38" s="62"/>
      <c r="R38" s="62"/>
      <c r="S38" s="62"/>
      <c r="T38" s="62"/>
      <c r="U38" s="62"/>
      <c r="V38" s="62"/>
    </row>
    <row r="39" spans="16:22" ht="12.75">
      <c r="P39" s="20" t="str">
        <f>Fedőlap!L45</f>
        <v>a szervezet vezetője</v>
      </c>
      <c r="Q39" s="20"/>
      <c r="R39" s="20"/>
      <c r="S39" s="20"/>
      <c r="T39" s="20"/>
      <c r="U39" s="20"/>
      <c r="V39" s="20"/>
    </row>
    <row r="40" spans="14:22" ht="15">
      <c r="N40" s="64" t="s">
        <v>44</v>
      </c>
      <c r="P40" s="20" t="str">
        <f>Fedőlap!L46</f>
        <v>(képviselője)</v>
      </c>
      <c r="Q40" s="20"/>
      <c r="R40" s="20"/>
      <c r="S40" s="20"/>
      <c r="T40" s="20"/>
      <c r="U40" s="20"/>
      <c r="V40" s="20"/>
    </row>
    <row r="42" ht="12.75">
      <c r="J42" t="str">
        <f>Fedőlap!K51</f>
        <v>„A közzétett adatok könyvvizsgálattal nincsenek alátámasztva”</v>
      </c>
    </row>
  </sheetData>
  <sheetProtection/>
  <mergeCells count="53">
    <mergeCell ref="S18:U18"/>
    <mergeCell ref="S20:U20"/>
    <mergeCell ref="S16:U16"/>
    <mergeCell ref="O18:Q18"/>
    <mergeCell ref="O16:Q16"/>
    <mergeCell ref="S17:U17"/>
    <mergeCell ref="O17:Q17"/>
    <mergeCell ref="O19:Q19"/>
    <mergeCell ref="O20:Q20"/>
    <mergeCell ref="S37:U37"/>
    <mergeCell ref="S34:U34"/>
    <mergeCell ref="S31:U31"/>
    <mergeCell ref="S32:U32"/>
    <mergeCell ref="S33:U33"/>
    <mergeCell ref="S25:U25"/>
    <mergeCell ref="O30:Q30"/>
    <mergeCell ref="O33:Q33"/>
    <mergeCell ref="O27:Q27"/>
    <mergeCell ref="O29:Q29"/>
    <mergeCell ref="O31:Q31"/>
    <mergeCell ref="O32:Q32"/>
    <mergeCell ref="S29:U29"/>
    <mergeCell ref="S30:U30"/>
    <mergeCell ref="S23:U23"/>
    <mergeCell ref="S24:U24"/>
    <mergeCell ref="O23:Q23"/>
    <mergeCell ref="O24:Q24"/>
    <mergeCell ref="S11:U11"/>
    <mergeCell ref="O12:Q12"/>
    <mergeCell ref="O14:Q14"/>
    <mergeCell ref="S13:U13"/>
    <mergeCell ref="S12:U12"/>
    <mergeCell ref="S14:U14"/>
    <mergeCell ref="S9:U9"/>
    <mergeCell ref="O10:Q10"/>
    <mergeCell ref="S10:U10"/>
    <mergeCell ref="O9:Q9"/>
    <mergeCell ref="B1:C1"/>
    <mergeCell ref="A8:B8"/>
    <mergeCell ref="O11:Q11"/>
    <mergeCell ref="O26:Q26"/>
    <mergeCell ref="O15:Q15"/>
    <mergeCell ref="O22:Q22"/>
    <mergeCell ref="S15:U15"/>
    <mergeCell ref="O13:Q13"/>
    <mergeCell ref="S26:U26"/>
    <mergeCell ref="O37:Q37"/>
    <mergeCell ref="O34:Q34"/>
    <mergeCell ref="O25:Q25"/>
    <mergeCell ref="S27:U27"/>
    <mergeCell ref="O28:Q28"/>
    <mergeCell ref="S28:U28"/>
    <mergeCell ref="S22:U22"/>
  </mergeCells>
  <printOptions horizontalCentered="1"/>
  <pageMargins left="0.4330708661417323" right="0.35433070866141736" top="0.4330708661417323" bottom="0.3937007874015748" header="0.5118110236220472" footer="0.5118110236220472"/>
  <pageSetup fitToHeight="1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4.75390625" style="0" customWidth="1"/>
    <col min="2" max="2" width="1.12109375" style="0" customWidth="1"/>
    <col min="3" max="3" width="3.875" style="0" customWidth="1"/>
    <col min="4" max="26" width="5.125" style="0" customWidth="1"/>
    <col min="27" max="27" width="4.125" style="23" bestFit="1" customWidth="1"/>
  </cols>
  <sheetData>
    <row r="1" spans="1:25" ht="18.75" thickBot="1">
      <c r="A1" s="17" t="str">
        <f>Fedőlap!$A$1</f>
        <v>1</v>
      </c>
      <c r="B1" s="427" t="str">
        <f>Fedőlap!$B$1</f>
        <v>9</v>
      </c>
      <c r="C1" s="426"/>
      <c r="D1" s="19" t="str">
        <f>Fedőlap!$C$1</f>
        <v>6</v>
      </c>
      <c r="E1" s="19" t="str">
        <f>Fedőlap!$D$1</f>
        <v>2</v>
      </c>
      <c r="F1" s="19" t="str">
        <f>Fedőlap!$E$1</f>
        <v>2</v>
      </c>
      <c r="G1" s="19" t="str">
        <f>Fedőlap!$F$1</f>
        <v>6</v>
      </c>
      <c r="H1" s="19" t="str">
        <f>Fedőlap!$G$1</f>
        <v>8</v>
      </c>
      <c r="I1" s="18" t="str">
        <f>Fedőlap!$H$1</f>
        <v>4</v>
      </c>
      <c r="J1" s="17" t="str">
        <f>Fedőlap!$I$1</f>
        <v>9</v>
      </c>
      <c r="K1" s="19">
        <f>Fedőlap!$J$1</f>
        <v>4</v>
      </c>
      <c r="L1" s="19">
        <f>Fedőlap!K1</f>
        <v>9</v>
      </c>
      <c r="M1" s="117" t="str">
        <f>Fedőlap!L1</f>
        <v>9</v>
      </c>
      <c r="N1" s="17" t="str">
        <f>Fedőlap!M1</f>
        <v>5</v>
      </c>
      <c r="O1" s="19" t="str">
        <f>Fedőlap!N1</f>
        <v>2</v>
      </c>
      <c r="P1" s="18">
        <f>Fedőlap!O1</f>
        <v>2</v>
      </c>
      <c r="Q1" s="118" t="str">
        <f>Fedőlap!P1</f>
        <v>0</v>
      </c>
      <c r="R1" s="294" t="str">
        <f>Fedőlap!Q1</f>
        <v>1</v>
      </c>
      <c r="S1" s="277"/>
      <c r="T1" s="116"/>
      <c r="U1" s="1"/>
      <c r="V1" s="1"/>
      <c r="W1" s="1"/>
      <c r="X1" s="1"/>
      <c r="Y1" s="1"/>
    </row>
    <row r="2" spans="1:25" ht="12.75">
      <c r="A2" s="2" t="str">
        <f>Fedőlap!A2</f>
        <v>Statisztikai számjel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  <c r="Y2" s="1"/>
    </row>
    <row r="3" spans="1:25" ht="3.75" customHeight="1">
      <c r="A3" s="1"/>
      <c r="B3" s="10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customHeight="1">
      <c r="A4" s="115" t="str">
        <f>Fedőlap!$B$9</f>
        <v>Budapesti Tájfutók Szövetsége</v>
      </c>
      <c r="B4" s="7"/>
      <c r="C4" s="7"/>
      <c r="D4" s="22"/>
      <c r="E4" s="7"/>
      <c r="F4" s="7"/>
      <c r="G4" s="7"/>
      <c r="H4" s="7"/>
      <c r="I4" s="7"/>
      <c r="J4" s="7"/>
      <c r="K4" s="7"/>
      <c r="L4" s="7"/>
      <c r="M4" s="7"/>
      <c r="N4" s="10"/>
      <c r="O4" s="10"/>
      <c r="P4" s="10"/>
      <c r="Q4" s="10"/>
      <c r="R4" s="1"/>
      <c r="S4" s="1"/>
      <c r="T4" s="1"/>
      <c r="U4" s="1"/>
      <c r="V4" s="1"/>
      <c r="W4" s="1"/>
      <c r="X4" s="1"/>
      <c r="Y4" s="1"/>
    </row>
    <row r="5" spans="1:25" ht="15" customHeight="1">
      <c r="A5" s="114" t="str">
        <f>Fedőlap!A29</f>
        <v>- Egyszerűsített éves beszámoló EREDMÉNYKIMUTATÁSA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3" ht="12.75" customHeight="1">
      <c r="A6" s="6"/>
      <c r="B6" s="20"/>
      <c r="C6" s="20"/>
      <c r="D6" s="20"/>
      <c r="E6" s="20"/>
      <c r="F6" s="20"/>
      <c r="G6" s="20"/>
      <c r="H6" s="155" t="str">
        <f>Fedőlap!A19</f>
        <v>2012. december 31.</v>
      </c>
      <c r="I6" s="20"/>
      <c r="J6" s="20"/>
      <c r="K6" s="20"/>
      <c r="L6" s="20"/>
      <c r="M6" s="20"/>
    </row>
    <row r="7" spans="1:26" ht="13.5" thickBot="1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Z7" s="23" t="s">
        <v>131</v>
      </c>
    </row>
    <row r="8" spans="1:27" ht="23.25" customHeight="1">
      <c r="A8" s="514" t="s">
        <v>21</v>
      </c>
      <c r="B8" s="515"/>
      <c r="C8" s="518" t="s">
        <v>18</v>
      </c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1" t="s">
        <v>19</v>
      </c>
      <c r="P8" s="512"/>
      <c r="Q8" s="512"/>
      <c r="R8" s="512"/>
      <c r="S8" s="512"/>
      <c r="T8" s="513"/>
      <c r="U8" s="511" t="s">
        <v>22</v>
      </c>
      <c r="V8" s="512"/>
      <c r="W8" s="512"/>
      <c r="X8" s="512"/>
      <c r="Y8" s="512"/>
      <c r="Z8" s="513"/>
      <c r="AA8" s="305"/>
    </row>
    <row r="9" spans="1:27" ht="13.5" thickBot="1">
      <c r="A9" s="516"/>
      <c r="B9" s="517"/>
      <c r="C9" s="520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06" t="s">
        <v>221</v>
      </c>
      <c r="P9" s="507"/>
      <c r="Q9" s="508" t="s">
        <v>222</v>
      </c>
      <c r="R9" s="509"/>
      <c r="S9" s="508" t="s">
        <v>111</v>
      </c>
      <c r="T9" s="510"/>
      <c r="U9" s="506" t="s">
        <v>221</v>
      </c>
      <c r="V9" s="507"/>
      <c r="W9" s="508" t="s">
        <v>222</v>
      </c>
      <c r="X9" s="509"/>
      <c r="Y9" s="508" t="s">
        <v>111</v>
      </c>
      <c r="Z9" s="510"/>
      <c r="AA9" s="305"/>
    </row>
    <row r="10" spans="1:27" ht="19.5" customHeight="1">
      <c r="A10" s="88">
        <v>1</v>
      </c>
      <c r="B10" s="91" t="s">
        <v>43</v>
      </c>
      <c r="C10" s="38" t="s">
        <v>223</v>
      </c>
      <c r="D10" s="39"/>
      <c r="E10" s="39"/>
      <c r="F10" s="39"/>
      <c r="G10" s="39"/>
      <c r="H10" s="3"/>
      <c r="I10" s="3"/>
      <c r="J10" s="3"/>
      <c r="K10" s="3"/>
      <c r="L10" s="3"/>
      <c r="M10" s="39"/>
      <c r="N10" s="39"/>
      <c r="O10" s="501">
        <f>ÉVEK2011TŐL!D7</f>
        <v>5110</v>
      </c>
      <c r="P10" s="502"/>
      <c r="Q10" s="494">
        <f>ÉVEK2011TŐL!D46</f>
        <v>260</v>
      </c>
      <c r="R10" s="494"/>
      <c r="S10" s="494">
        <f>O10+Q10</f>
        <v>5370</v>
      </c>
      <c r="T10" s="495"/>
      <c r="U10" s="501">
        <f>ÉVEK2011TŐL!E7</f>
        <v>2139</v>
      </c>
      <c r="V10" s="502"/>
      <c r="W10" s="494">
        <f>ÉVEK2011TŐL!E46</f>
        <v>0</v>
      </c>
      <c r="X10" s="494"/>
      <c r="Y10" s="494">
        <f>U10+W10</f>
        <v>2139</v>
      </c>
      <c r="Z10" s="495"/>
      <c r="AA10" s="305"/>
    </row>
    <row r="11" spans="1:27" ht="19.5" customHeight="1">
      <c r="A11" s="89">
        <v>2</v>
      </c>
      <c r="B11" s="92" t="s">
        <v>43</v>
      </c>
      <c r="C11" s="35" t="s">
        <v>224</v>
      </c>
      <c r="D11" s="36"/>
      <c r="E11" s="33"/>
      <c r="F11" s="33"/>
      <c r="G11" s="33"/>
      <c r="H11" s="11"/>
      <c r="I11" s="11"/>
      <c r="J11" s="11"/>
      <c r="K11" s="11"/>
      <c r="L11" s="11"/>
      <c r="M11" s="33"/>
      <c r="N11" s="33"/>
      <c r="O11" s="498">
        <f>ÉVEK2011TŐL!D8</f>
        <v>0</v>
      </c>
      <c r="P11" s="499"/>
      <c r="Q11" s="476">
        <f>ÉVEK2011TŐL!D47</f>
        <v>0</v>
      </c>
      <c r="R11" s="476"/>
      <c r="S11" s="476">
        <f aca="true" t="shared" si="0" ref="S11:S18">O11+Q11</f>
        <v>0</v>
      </c>
      <c r="T11" s="485"/>
      <c r="U11" s="498">
        <f>ÉVEK2011TŐL!E8</f>
        <v>0</v>
      </c>
      <c r="V11" s="499"/>
      <c r="W11" s="476">
        <f>ÉVEK2011TŐL!E47</f>
        <v>0</v>
      </c>
      <c r="X11" s="476"/>
      <c r="Y11" s="476">
        <f aca="true" t="shared" si="1" ref="Y11:Y18">U11+W11</f>
        <v>0</v>
      </c>
      <c r="Z11" s="485"/>
      <c r="AA11" s="305"/>
    </row>
    <row r="12" spans="1:27" ht="19.5" customHeight="1">
      <c r="A12" s="89">
        <v>3</v>
      </c>
      <c r="B12" s="92" t="s">
        <v>43</v>
      </c>
      <c r="C12" s="35" t="s">
        <v>225</v>
      </c>
      <c r="D12" s="33"/>
      <c r="E12" s="11"/>
      <c r="F12" s="33"/>
      <c r="G12" s="33"/>
      <c r="H12" s="11"/>
      <c r="I12" s="11"/>
      <c r="J12" s="11"/>
      <c r="K12" s="11"/>
      <c r="L12" s="11"/>
      <c r="M12" s="33"/>
      <c r="N12" s="33"/>
      <c r="O12" s="498">
        <f>ÉVEK2011TŐL!D9</f>
        <v>2748</v>
      </c>
      <c r="P12" s="499"/>
      <c r="Q12" s="476">
        <f>ÉVEK2011TŐL!D48</f>
        <v>0</v>
      </c>
      <c r="R12" s="476"/>
      <c r="S12" s="476">
        <f t="shared" si="0"/>
        <v>2748</v>
      </c>
      <c r="T12" s="485"/>
      <c r="U12" s="498">
        <f>ÉVEK2011TŐL!E9</f>
        <v>1556</v>
      </c>
      <c r="V12" s="499"/>
      <c r="W12" s="476">
        <f>ÉVEK2011TŐL!E48</f>
        <v>0</v>
      </c>
      <c r="X12" s="476"/>
      <c r="Y12" s="476">
        <f t="shared" si="1"/>
        <v>1556</v>
      </c>
      <c r="Z12" s="485"/>
      <c r="AA12" s="305"/>
    </row>
    <row r="13" spans="1:27" ht="19.5" customHeight="1">
      <c r="A13" s="89"/>
      <c r="B13" s="92"/>
      <c r="C13" s="35" t="s">
        <v>226</v>
      </c>
      <c r="D13" s="33"/>
      <c r="E13" s="33" t="s">
        <v>302</v>
      </c>
      <c r="F13" s="33"/>
      <c r="G13" s="33"/>
      <c r="H13" s="11"/>
      <c r="I13" s="11"/>
      <c r="J13" s="11"/>
      <c r="K13" s="11"/>
      <c r="L13" s="11"/>
      <c r="M13" s="33"/>
      <c r="N13" s="33"/>
      <c r="O13" s="498">
        <f>ÉVEK2011TŐL!D10</f>
        <v>0</v>
      </c>
      <c r="P13" s="499"/>
      <c r="Q13" s="476">
        <f>ÉVEK2011TŐL!D49</f>
        <v>0</v>
      </c>
      <c r="R13" s="476"/>
      <c r="S13" s="476">
        <f t="shared" si="0"/>
        <v>0</v>
      </c>
      <c r="T13" s="485"/>
      <c r="U13" s="498">
        <f>ÉVEK2011TŐL!E10</f>
        <v>0</v>
      </c>
      <c r="V13" s="499"/>
      <c r="W13" s="476">
        <f>ÉVEK2011TŐL!E49</f>
        <v>0</v>
      </c>
      <c r="X13" s="476"/>
      <c r="Y13" s="476">
        <f t="shared" si="1"/>
        <v>0</v>
      </c>
      <c r="Z13" s="485"/>
      <c r="AA13" s="305"/>
    </row>
    <row r="14" spans="1:27" ht="19.5" customHeight="1">
      <c r="A14" s="89"/>
      <c r="B14" s="92"/>
      <c r="C14" s="35"/>
      <c r="D14" s="36"/>
      <c r="E14" s="33" t="s">
        <v>303</v>
      </c>
      <c r="F14" s="33"/>
      <c r="G14" s="33"/>
      <c r="H14" s="11"/>
      <c r="I14" s="11"/>
      <c r="J14" s="11"/>
      <c r="K14" s="11"/>
      <c r="L14" s="11"/>
      <c r="M14" s="33"/>
      <c r="N14" s="33"/>
      <c r="O14" s="498">
        <f>ÉVEK2011TŐL!D11</f>
        <v>2703</v>
      </c>
      <c r="P14" s="499"/>
      <c r="Q14" s="476">
        <f>ÉVEK2011TŐL!D50</f>
        <v>0</v>
      </c>
      <c r="R14" s="476"/>
      <c r="S14" s="476">
        <f t="shared" si="0"/>
        <v>2703</v>
      </c>
      <c r="T14" s="485"/>
      <c r="U14" s="498">
        <f>ÉVEK2011TŐL!E11</f>
        <v>1504</v>
      </c>
      <c r="V14" s="499"/>
      <c r="W14" s="476">
        <f>ÉVEK2011TŐL!E50</f>
        <v>0</v>
      </c>
      <c r="X14" s="476"/>
      <c r="Y14" s="476">
        <f t="shared" si="1"/>
        <v>1504</v>
      </c>
      <c r="Z14" s="485"/>
      <c r="AA14" s="305"/>
    </row>
    <row r="15" spans="1:27" ht="19.5" customHeight="1">
      <c r="A15" s="89">
        <v>4</v>
      </c>
      <c r="B15" s="92" t="s">
        <v>43</v>
      </c>
      <c r="C15" s="35" t="s">
        <v>227</v>
      </c>
      <c r="D15" s="33"/>
      <c r="E15" s="11"/>
      <c r="F15" s="33"/>
      <c r="G15" s="33"/>
      <c r="H15" s="11"/>
      <c r="I15" s="11"/>
      <c r="J15" s="11"/>
      <c r="K15" s="11"/>
      <c r="L15" s="11"/>
      <c r="M15" s="33"/>
      <c r="N15" s="33"/>
      <c r="O15" s="498">
        <f>ÉVEK2011TŐL!D12</f>
        <v>0</v>
      </c>
      <c r="P15" s="499"/>
      <c r="Q15" s="476">
        <f>ÉVEK2011TŐL!D51</f>
        <v>0</v>
      </c>
      <c r="R15" s="476"/>
      <c r="S15" s="476">
        <f t="shared" si="0"/>
        <v>0</v>
      </c>
      <c r="T15" s="485"/>
      <c r="U15" s="498">
        <f>ÉVEK2011TŐL!E12</f>
        <v>0</v>
      </c>
      <c r="V15" s="499"/>
      <c r="W15" s="476">
        <f>ÉVEK2011TŐL!E51</f>
        <v>0</v>
      </c>
      <c r="X15" s="476"/>
      <c r="Y15" s="476">
        <f t="shared" si="1"/>
        <v>0</v>
      </c>
      <c r="Z15" s="485"/>
      <c r="AA15" s="305"/>
    </row>
    <row r="16" spans="1:27" ht="19.5" customHeight="1">
      <c r="A16" s="90">
        <v>5</v>
      </c>
      <c r="B16" s="93" t="s">
        <v>43</v>
      </c>
      <c r="C16" s="47" t="s">
        <v>228</v>
      </c>
      <c r="D16" s="49"/>
      <c r="E16" s="48"/>
      <c r="F16" s="49"/>
      <c r="G16" s="49"/>
      <c r="H16" s="48"/>
      <c r="I16" s="48"/>
      <c r="J16" s="48"/>
      <c r="K16" s="48"/>
      <c r="L16" s="48"/>
      <c r="M16" s="49"/>
      <c r="N16" s="49"/>
      <c r="O16" s="498">
        <f>ÉVEK2011TŐL!D13</f>
        <v>0</v>
      </c>
      <c r="P16" s="499"/>
      <c r="Q16" s="476">
        <f>ÉVEK2011TŐL!D52</f>
        <v>0</v>
      </c>
      <c r="R16" s="476"/>
      <c r="S16" s="476">
        <f t="shared" si="0"/>
        <v>0</v>
      </c>
      <c r="T16" s="485"/>
      <c r="U16" s="498">
        <f>ÉVEK2011TŐL!E13</f>
        <v>0</v>
      </c>
      <c r="V16" s="499"/>
      <c r="W16" s="476">
        <f>ÉVEK2011TŐL!E52</f>
        <v>0</v>
      </c>
      <c r="X16" s="476"/>
      <c r="Y16" s="476">
        <f t="shared" si="1"/>
        <v>0</v>
      </c>
      <c r="Z16" s="485"/>
      <c r="AA16" s="305"/>
    </row>
    <row r="17" spans="1:27" ht="19.5" customHeight="1">
      <c r="A17" s="90"/>
      <c r="B17" s="93"/>
      <c r="C17" s="35" t="s">
        <v>226</v>
      </c>
      <c r="D17" s="33"/>
      <c r="E17" s="49" t="s">
        <v>304</v>
      </c>
      <c r="F17" s="49"/>
      <c r="G17" s="49"/>
      <c r="H17" s="48"/>
      <c r="I17" s="48"/>
      <c r="J17" s="48"/>
      <c r="K17" s="48"/>
      <c r="L17" s="48"/>
      <c r="M17" s="49"/>
      <c r="N17" s="49"/>
      <c r="O17" s="498">
        <f>ÉVEK2011TŐL!D14</f>
        <v>0</v>
      </c>
      <c r="P17" s="499"/>
      <c r="Q17" s="476">
        <f>ÉVEK2011TŐL!D53</f>
        <v>0</v>
      </c>
      <c r="R17" s="476"/>
      <c r="S17" s="476">
        <f>O17+Q17</f>
        <v>0</v>
      </c>
      <c r="T17" s="485"/>
      <c r="U17" s="498">
        <f>ÉVEK2011TŐL!E14</f>
        <v>0</v>
      </c>
      <c r="V17" s="499"/>
      <c r="W17" s="476">
        <f>ÉVEK2011TŐL!E53</f>
        <v>0</v>
      </c>
      <c r="X17" s="476"/>
      <c r="Y17" s="476">
        <f t="shared" si="1"/>
        <v>0</v>
      </c>
      <c r="Z17" s="485"/>
      <c r="AA17" s="305"/>
    </row>
    <row r="18" spans="1:27" ht="19.5" customHeight="1" thickBot="1">
      <c r="A18" s="90"/>
      <c r="B18" s="93"/>
      <c r="C18" s="35"/>
      <c r="D18" s="36"/>
      <c r="E18" s="49" t="s">
        <v>303</v>
      </c>
      <c r="F18" s="49"/>
      <c r="G18" s="49"/>
      <c r="H18" s="48"/>
      <c r="I18" s="48"/>
      <c r="J18" s="48"/>
      <c r="K18" s="48"/>
      <c r="L18" s="48"/>
      <c r="M18" s="49"/>
      <c r="N18" s="49"/>
      <c r="O18" s="479">
        <f>ÉVEK2011TŐL!D15</f>
        <v>0</v>
      </c>
      <c r="P18" s="480"/>
      <c r="Q18" s="477">
        <f>ÉVEK2011TŐL!D54</f>
        <v>0</v>
      </c>
      <c r="R18" s="477"/>
      <c r="S18" s="477">
        <f t="shared" si="0"/>
        <v>0</v>
      </c>
      <c r="T18" s="504"/>
      <c r="U18" s="479">
        <f>ÉVEK2011TŐL!E15</f>
        <v>0</v>
      </c>
      <c r="V18" s="480"/>
      <c r="W18" s="477">
        <f>ÉVEK2011TŐL!E54</f>
        <v>0</v>
      </c>
      <c r="X18" s="477"/>
      <c r="Y18" s="477">
        <f t="shared" si="1"/>
        <v>0</v>
      </c>
      <c r="Z18" s="504"/>
      <c r="AA18" s="305"/>
    </row>
    <row r="19" spans="1:27" ht="19.5" customHeight="1" thickBot="1">
      <c r="A19" s="334" t="s">
        <v>45</v>
      </c>
      <c r="B19" s="335" t="s">
        <v>43</v>
      </c>
      <c r="C19" s="336" t="s">
        <v>305</v>
      </c>
      <c r="D19" s="337"/>
      <c r="E19" s="338"/>
      <c r="F19" s="309"/>
      <c r="G19" s="309"/>
      <c r="H19" s="338"/>
      <c r="I19" s="338"/>
      <c r="J19" s="338"/>
      <c r="K19" s="338"/>
      <c r="L19" s="338"/>
      <c r="M19" s="309"/>
      <c r="N19" s="309"/>
      <c r="O19" s="481">
        <f>O10+O11+O12+O15+O16</f>
        <v>7858</v>
      </c>
      <c r="P19" s="482"/>
      <c r="Q19" s="482">
        <f>Q10+Q11+Q12+Q15+Q16</f>
        <v>260</v>
      </c>
      <c r="R19" s="482"/>
      <c r="S19" s="482">
        <f>O19+Q19</f>
        <v>8118</v>
      </c>
      <c r="T19" s="505"/>
      <c r="U19" s="481">
        <f>U10+U11+U12+U15+U16</f>
        <v>3695</v>
      </c>
      <c r="V19" s="482"/>
      <c r="W19" s="482">
        <f>W10+W11+W12+W15+W16</f>
        <v>0</v>
      </c>
      <c r="X19" s="482"/>
      <c r="Y19" s="482">
        <f>U19+W19</f>
        <v>3695</v>
      </c>
      <c r="Z19" s="505"/>
      <c r="AA19" s="305"/>
    </row>
    <row r="20" spans="1:27" ht="19.5" customHeight="1" thickBot="1">
      <c r="A20" s="300"/>
      <c r="B20" s="301"/>
      <c r="C20" s="35" t="s">
        <v>226</v>
      </c>
      <c r="D20" s="302"/>
      <c r="E20" s="49" t="s">
        <v>306</v>
      </c>
      <c r="F20" s="304"/>
      <c r="G20" s="304"/>
      <c r="H20" s="303"/>
      <c r="I20" s="303"/>
      <c r="J20" s="303"/>
      <c r="K20" s="303"/>
      <c r="L20" s="303"/>
      <c r="M20" s="304"/>
      <c r="N20" s="304"/>
      <c r="O20" s="500">
        <f>ÉVEK2011TŐL!D17</f>
        <v>7858</v>
      </c>
      <c r="P20" s="486"/>
      <c r="Q20" s="486">
        <f>ÉVEK2011TŐL!D56</f>
        <v>0</v>
      </c>
      <c r="R20" s="486"/>
      <c r="S20" s="486">
        <f>O20+Q20</f>
        <v>7858</v>
      </c>
      <c r="T20" s="487"/>
      <c r="U20" s="500">
        <f>ÉVEK2011TŐL!E17</f>
        <v>3695</v>
      </c>
      <c r="V20" s="486"/>
      <c r="W20" s="486">
        <f>ÉVEK2011TŐL!E56</f>
        <v>0</v>
      </c>
      <c r="X20" s="486"/>
      <c r="Y20" s="486">
        <f>U20+W20</f>
        <v>3695</v>
      </c>
      <c r="Z20" s="487"/>
      <c r="AA20" s="305"/>
    </row>
    <row r="21" spans="1:27" ht="19.5" customHeight="1">
      <c r="A21" s="339">
        <v>6</v>
      </c>
      <c r="B21" s="340" t="s">
        <v>43</v>
      </c>
      <c r="C21" s="126" t="s">
        <v>122</v>
      </c>
      <c r="D21" s="95"/>
      <c r="E21" s="96"/>
      <c r="F21" s="95"/>
      <c r="G21" s="95"/>
      <c r="H21" s="96"/>
      <c r="I21" s="96"/>
      <c r="J21" s="96"/>
      <c r="K21" s="96"/>
      <c r="L21" s="96"/>
      <c r="M21" s="95"/>
      <c r="N21" s="95"/>
      <c r="O21" s="493">
        <f>ÉVEK2011TŐL!D18</f>
        <v>6998</v>
      </c>
      <c r="P21" s="494"/>
      <c r="Q21" s="494">
        <f>ÉVEK2011TŐL!D57</f>
        <v>0</v>
      </c>
      <c r="R21" s="494"/>
      <c r="S21" s="494">
        <f aca="true" t="shared" si="2" ref="S21:S27">O21+Q21</f>
        <v>6998</v>
      </c>
      <c r="T21" s="495"/>
      <c r="U21" s="493">
        <f>ÉVEK2011TŐL!E18</f>
        <v>4787</v>
      </c>
      <c r="V21" s="494"/>
      <c r="W21" s="494">
        <f>ÉVEK2011TŐL!E57</f>
        <v>0</v>
      </c>
      <c r="X21" s="494"/>
      <c r="Y21" s="494">
        <f aca="true" t="shared" si="3" ref="Y21:Y27">U21+W21</f>
        <v>4787</v>
      </c>
      <c r="Z21" s="495"/>
      <c r="AA21" s="305"/>
    </row>
    <row r="22" spans="1:27" ht="21.75" customHeight="1">
      <c r="A22" s="341">
        <v>7</v>
      </c>
      <c r="B22" s="342" t="s">
        <v>43</v>
      </c>
      <c r="C22" s="127" t="s">
        <v>66</v>
      </c>
      <c r="D22" s="33"/>
      <c r="E22" s="11"/>
      <c r="F22" s="33"/>
      <c r="G22" s="33"/>
      <c r="H22" s="11"/>
      <c r="I22" s="11"/>
      <c r="J22" s="11"/>
      <c r="K22" s="11"/>
      <c r="L22" s="11"/>
      <c r="M22" s="33"/>
      <c r="N22" s="33"/>
      <c r="O22" s="496">
        <f>ÉVEK2011TŐL!D19</f>
        <v>1795</v>
      </c>
      <c r="P22" s="476"/>
      <c r="Q22" s="476">
        <f>ÉVEK2011TŐL!D58</f>
        <v>0</v>
      </c>
      <c r="R22" s="476"/>
      <c r="S22" s="473">
        <f t="shared" si="2"/>
        <v>1795</v>
      </c>
      <c r="T22" s="474"/>
      <c r="U22" s="496">
        <f>ÉVEK2011TŐL!E19</f>
        <v>192</v>
      </c>
      <c r="V22" s="476"/>
      <c r="W22" s="476">
        <f>ÉVEK2011TŐL!E58</f>
        <v>0</v>
      </c>
      <c r="X22" s="476"/>
      <c r="Y22" s="476">
        <f t="shared" si="3"/>
        <v>192</v>
      </c>
      <c r="Z22" s="485"/>
      <c r="AA22" s="305"/>
    </row>
    <row r="23" spans="1:27" ht="21.75" customHeight="1">
      <c r="A23" s="90"/>
      <c r="B23" s="93"/>
      <c r="C23" s="35" t="s">
        <v>226</v>
      </c>
      <c r="D23" s="33"/>
      <c r="E23" s="49" t="s">
        <v>307</v>
      </c>
      <c r="F23" s="49"/>
      <c r="G23" s="49"/>
      <c r="H23" s="48"/>
      <c r="I23" s="48"/>
      <c r="J23" s="48"/>
      <c r="K23" s="48"/>
      <c r="L23" s="48"/>
      <c r="M23" s="49"/>
      <c r="N23" s="49"/>
      <c r="O23" s="496">
        <f>ÉVEK2011TŐL!D20</f>
        <v>0</v>
      </c>
      <c r="P23" s="476"/>
      <c r="Q23" s="476">
        <f>ÉVEK2011TŐL!D59</f>
        <v>0</v>
      </c>
      <c r="R23" s="476"/>
      <c r="S23" s="473">
        <f t="shared" si="2"/>
        <v>0</v>
      </c>
      <c r="T23" s="474"/>
      <c r="U23" s="496">
        <f>ÉVEK2011TŐL!E20</f>
        <v>0</v>
      </c>
      <c r="V23" s="476"/>
      <c r="W23" s="476">
        <f>ÉVEK2011TŐL!E59</f>
        <v>0</v>
      </c>
      <c r="X23" s="476"/>
      <c r="Y23" s="476">
        <f t="shared" si="3"/>
        <v>0</v>
      </c>
      <c r="Z23" s="485"/>
      <c r="AA23" s="305"/>
    </row>
    <row r="24" spans="1:27" ht="21.75" customHeight="1">
      <c r="A24" s="341">
        <v>8</v>
      </c>
      <c r="B24" s="342" t="s">
        <v>43</v>
      </c>
      <c r="C24" s="127" t="s">
        <v>67</v>
      </c>
      <c r="D24" s="33"/>
      <c r="E24" s="11"/>
      <c r="F24" s="33"/>
      <c r="G24" s="33"/>
      <c r="H24" s="11"/>
      <c r="I24" s="11"/>
      <c r="J24" s="11"/>
      <c r="K24" s="11"/>
      <c r="L24" s="11"/>
      <c r="M24" s="33"/>
      <c r="N24" s="33"/>
      <c r="O24" s="496">
        <f>ÉVEK2011TŐL!D21</f>
        <v>3</v>
      </c>
      <c r="P24" s="476"/>
      <c r="Q24" s="476">
        <f>ÉVEK2011TŐL!D60</f>
        <v>0</v>
      </c>
      <c r="R24" s="476"/>
      <c r="S24" s="473">
        <f t="shared" si="2"/>
        <v>3</v>
      </c>
      <c r="T24" s="474"/>
      <c r="U24" s="496">
        <f>ÉVEK2011TŐL!E21</f>
        <v>0</v>
      </c>
      <c r="V24" s="476"/>
      <c r="W24" s="476">
        <f>ÉVEK2011TŐL!E60</f>
        <v>0</v>
      </c>
      <c r="X24" s="476"/>
      <c r="Y24" s="476">
        <f t="shared" si="3"/>
        <v>0</v>
      </c>
      <c r="Z24" s="485"/>
      <c r="AA24" s="305"/>
    </row>
    <row r="25" spans="1:27" ht="21.75" customHeight="1">
      <c r="A25" s="341">
        <v>9</v>
      </c>
      <c r="B25" s="342" t="s">
        <v>43</v>
      </c>
      <c r="C25" s="127" t="s">
        <v>167</v>
      </c>
      <c r="D25" s="33"/>
      <c r="E25" s="11"/>
      <c r="F25" s="33"/>
      <c r="G25" s="33"/>
      <c r="H25" s="11"/>
      <c r="I25" s="11"/>
      <c r="J25" s="11"/>
      <c r="K25" s="11"/>
      <c r="L25" s="11"/>
      <c r="M25" s="33"/>
      <c r="N25" s="33"/>
      <c r="O25" s="496">
        <f>ÉVEK2011TŐL!D22</f>
        <v>0</v>
      </c>
      <c r="P25" s="476"/>
      <c r="Q25" s="476">
        <f>ÉVEK2011TŐL!D61</f>
        <v>0</v>
      </c>
      <c r="R25" s="476"/>
      <c r="S25" s="473">
        <f t="shared" si="2"/>
        <v>0</v>
      </c>
      <c r="T25" s="474"/>
      <c r="U25" s="496">
        <f>ÉVEK2011TŐL!E22</f>
        <v>0</v>
      </c>
      <c r="V25" s="476"/>
      <c r="W25" s="476">
        <f>ÉVEK2011TŐL!E61</f>
        <v>0</v>
      </c>
      <c r="X25" s="476"/>
      <c r="Y25" s="476">
        <f t="shared" si="3"/>
        <v>0</v>
      </c>
      <c r="Z25" s="485"/>
      <c r="AA25" s="305"/>
    </row>
    <row r="26" spans="1:27" ht="21.75" customHeight="1">
      <c r="A26" s="341">
        <v>10</v>
      </c>
      <c r="B26" s="342" t="s">
        <v>43</v>
      </c>
      <c r="C26" s="127" t="s">
        <v>123</v>
      </c>
      <c r="D26" s="33"/>
      <c r="E26" s="11"/>
      <c r="F26" s="33"/>
      <c r="G26" s="33"/>
      <c r="H26" s="11"/>
      <c r="I26" s="11"/>
      <c r="J26" s="11"/>
      <c r="K26" s="11"/>
      <c r="L26" s="11"/>
      <c r="M26" s="33"/>
      <c r="N26" s="33"/>
      <c r="O26" s="496">
        <f>ÉVEK2011TŐL!D23</f>
        <v>0</v>
      </c>
      <c r="P26" s="476"/>
      <c r="Q26" s="476">
        <f>ÉVEK2011TŐL!D62</f>
        <v>0</v>
      </c>
      <c r="R26" s="476"/>
      <c r="S26" s="473">
        <f t="shared" si="2"/>
        <v>0</v>
      </c>
      <c r="T26" s="474"/>
      <c r="U26" s="496">
        <f>ÉVEK2011TŐL!E23</f>
        <v>0</v>
      </c>
      <c r="V26" s="476"/>
      <c r="W26" s="476">
        <f>ÉVEK2011TŐL!E62</f>
        <v>0</v>
      </c>
      <c r="X26" s="476"/>
      <c r="Y26" s="476">
        <f t="shared" si="3"/>
        <v>0</v>
      </c>
      <c r="Z26" s="485"/>
      <c r="AA26" s="305"/>
    </row>
    <row r="27" spans="1:27" ht="21.75" customHeight="1" thickBot="1">
      <c r="A27" s="343">
        <v>11</v>
      </c>
      <c r="B27" s="344" t="s">
        <v>43</v>
      </c>
      <c r="C27" s="128" t="s">
        <v>124</v>
      </c>
      <c r="D27" s="83"/>
      <c r="E27" s="84"/>
      <c r="F27" s="83"/>
      <c r="G27" s="83"/>
      <c r="H27" s="84"/>
      <c r="I27" s="84"/>
      <c r="J27" s="84"/>
      <c r="K27" s="84"/>
      <c r="L27" s="84"/>
      <c r="M27" s="83"/>
      <c r="N27" s="83"/>
      <c r="O27" s="478">
        <f>ÉVEK2011TŐL!D24</f>
        <v>0</v>
      </c>
      <c r="P27" s="477"/>
      <c r="Q27" s="477">
        <f>ÉVEK2011TŐL!D63</f>
        <v>0</v>
      </c>
      <c r="R27" s="477"/>
      <c r="S27" s="473">
        <f t="shared" si="2"/>
        <v>0</v>
      </c>
      <c r="T27" s="474"/>
      <c r="U27" s="478">
        <f>ÉVEK2011TŐL!E24</f>
        <v>0</v>
      </c>
      <c r="V27" s="477"/>
      <c r="W27" s="477">
        <f>ÉVEK2011TŐL!E63</f>
        <v>0</v>
      </c>
      <c r="X27" s="477"/>
      <c r="Y27" s="476">
        <f t="shared" si="3"/>
        <v>0</v>
      </c>
      <c r="Z27" s="485"/>
      <c r="AA27" s="305"/>
    </row>
    <row r="28" spans="1:27" ht="21.75" customHeight="1" thickBot="1">
      <c r="A28" s="41" t="s">
        <v>47</v>
      </c>
      <c r="B28" s="52" t="s">
        <v>43</v>
      </c>
      <c r="C28" s="94" t="s">
        <v>308</v>
      </c>
      <c r="D28" s="44"/>
      <c r="E28" s="14"/>
      <c r="F28" s="44"/>
      <c r="G28" s="44"/>
      <c r="H28" s="14"/>
      <c r="I28" s="14"/>
      <c r="J28" s="14"/>
      <c r="K28" s="14"/>
      <c r="L28" s="14"/>
      <c r="M28" s="44"/>
      <c r="N28" s="44"/>
      <c r="O28" s="497">
        <f>O21+O22+O24+O25+O26+O27</f>
        <v>8796</v>
      </c>
      <c r="P28" s="483"/>
      <c r="Q28" s="483">
        <f>Q21+Q22+Q24+Q25+Q26+Q27</f>
        <v>0</v>
      </c>
      <c r="R28" s="483"/>
      <c r="S28" s="483">
        <f aca="true" t="shared" si="4" ref="S28:S34">O28+Q28</f>
        <v>8796</v>
      </c>
      <c r="T28" s="484"/>
      <c r="U28" s="497">
        <f>U21+U22+U24+U25+U26+U27</f>
        <v>4979</v>
      </c>
      <c r="V28" s="483"/>
      <c r="W28" s="483">
        <f>W21+W22+W24+W25+W26+W27</f>
        <v>0</v>
      </c>
      <c r="X28" s="483"/>
      <c r="Y28" s="483">
        <f aca="true" t="shared" si="5" ref="Y28:Y34">U28+W28</f>
        <v>4979</v>
      </c>
      <c r="Z28" s="484"/>
      <c r="AA28" s="305"/>
    </row>
    <row r="29" spans="1:27" ht="21.75" customHeight="1" thickBot="1">
      <c r="A29" s="300"/>
      <c r="B29" s="301"/>
      <c r="C29" s="35" t="s">
        <v>226</v>
      </c>
      <c r="D29" s="302"/>
      <c r="E29" s="49" t="s">
        <v>309</v>
      </c>
      <c r="F29" s="304"/>
      <c r="G29" s="304"/>
      <c r="H29" s="303"/>
      <c r="I29" s="303"/>
      <c r="J29" s="303"/>
      <c r="K29" s="303"/>
      <c r="L29" s="303"/>
      <c r="M29" s="304"/>
      <c r="N29" s="304"/>
      <c r="O29" s="493">
        <f>ÉVEK2011TŐL!D26</f>
        <v>8796</v>
      </c>
      <c r="P29" s="494"/>
      <c r="Q29" s="494">
        <f>ÉVEK2011TŐL!D65</f>
        <v>0</v>
      </c>
      <c r="R29" s="494"/>
      <c r="S29" s="486">
        <f t="shared" si="4"/>
        <v>8796</v>
      </c>
      <c r="T29" s="487"/>
      <c r="U29" s="493">
        <f>ÉVEK2011TŐL!E26</f>
        <v>4979</v>
      </c>
      <c r="V29" s="494"/>
      <c r="W29" s="494">
        <f>ÉVEK2011TŐL!E65</f>
        <v>0</v>
      </c>
      <c r="X29" s="494"/>
      <c r="Y29" s="486">
        <f t="shared" si="5"/>
        <v>4979</v>
      </c>
      <c r="Z29" s="487"/>
      <c r="AA29" s="305"/>
    </row>
    <row r="30" spans="1:27" ht="21.75" customHeight="1" thickBot="1">
      <c r="A30" s="71" t="s">
        <v>46</v>
      </c>
      <c r="B30" s="52" t="s">
        <v>43</v>
      </c>
      <c r="C30" s="43" t="s">
        <v>310</v>
      </c>
      <c r="D30" s="121"/>
      <c r="E30" s="53"/>
      <c r="F30" s="53"/>
      <c r="G30" s="53"/>
      <c r="H30" s="119"/>
      <c r="I30" s="119"/>
      <c r="J30" s="119"/>
      <c r="K30" s="119"/>
      <c r="L30" s="119"/>
      <c r="M30" s="53"/>
      <c r="N30" s="53"/>
      <c r="O30" s="497">
        <f>O19-O28</f>
        <v>-938</v>
      </c>
      <c r="P30" s="483"/>
      <c r="Q30" s="483">
        <f>Q19-Q28</f>
        <v>260</v>
      </c>
      <c r="R30" s="483"/>
      <c r="S30" s="483">
        <f t="shared" si="4"/>
        <v>-678</v>
      </c>
      <c r="T30" s="484"/>
      <c r="U30" s="497">
        <f>U19-U28</f>
        <v>-1284</v>
      </c>
      <c r="V30" s="483"/>
      <c r="W30" s="483">
        <f>W19-W28</f>
        <v>0</v>
      </c>
      <c r="X30" s="483"/>
      <c r="Y30" s="483">
        <f t="shared" si="5"/>
        <v>-1284</v>
      </c>
      <c r="Z30" s="484"/>
      <c r="AA30" s="305"/>
    </row>
    <row r="31" spans="1:27" ht="21.75" customHeight="1" thickBot="1">
      <c r="A31" s="71">
        <v>12</v>
      </c>
      <c r="B31" s="52" t="s">
        <v>43</v>
      </c>
      <c r="C31" s="43" t="s">
        <v>63</v>
      </c>
      <c r="D31" s="121"/>
      <c r="E31" s="53"/>
      <c r="F31" s="53"/>
      <c r="G31" s="53"/>
      <c r="H31" s="119"/>
      <c r="I31" s="119"/>
      <c r="J31" s="119"/>
      <c r="K31" s="119"/>
      <c r="L31" s="119"/>
      <c r="M31" s="53"/>
      <c r="N31" s="53"/>
      <c r="O31" s="497">
        <f>ÉVEK2011TŐL!D28</f>
        <v>0</v>
      </c>
      <c r="P31" s="483"/>
      <c r="Q31" s="503">
        <f>ÉVEK2011TŐL!D67</f>
        <v>0</v>
      </c>
      <c r="R31" s="503"/>
      <c r="S31" s="483">
        <f t="shared" si="4"/>
        <v>0</v>
      </c>
      <c r="T31" s="484"/>
      <c r="U31" s="497">
        <f>ÉVEK2011TŐL!E28</f>
        <v>0</v>
      </c>
      <c r="V31" s="483"/>
      <c r="W31" s="483">
        <f>ÉVEK2011TŐL!E67</f>
        <v>0</v>
      </c>
      <c r="X31" s="483"/>
      <c r="Y31" s="483">
        <f t="shared" si="5"/>
        <v>0</v>
      </c>
      <c r="Z31" s="484"/>
      <c r="AA31" s="305"/>
    </row>
    <row r="32" spans="1:27" ht="21.75" customHeight="1" thickBot="1">
      <c r="A32" s="71" t="s">
        <v>48</v>
      </c>
      <c r="B32" s="52" t="s">
        <v>43</v>
      </c>
      <c r="C32" s="43" t="s">
        <v>311</v>
      </c>
      <c r="D32" s="121"/>
      <c r="E32" s="53"/>
      <c r="F32" s="53"/>
      <c r="G32" s="53"/>
      <c r="H32" s="119"/>
      <c r="I32" s="119"/>
      <c r="J32" s="119"/>
      <c r="K32" s="119"/>
      <c r="L32" s="119"/>
      <c r="M32" s="53"/>
      <c r="N32" s="53"/>
      <c r="O32" s="497">
        <f>O30-O31</f>
        <v>-938</v>
      </c>
      <c r="P32" s="483"/>
      <c r="Q32" s="483">
        <f>Q30-Q31</f>
        <v>260</v>
      </c>
      <c r="R32" s="483"/>
      <c r="S32" s="483">
        <f t="shared" si="4"/>
        <v>-678</v>
      </c>
      <c r="T32" s="484"/>
      <c r="U32" s="497">
        <f>U30-U31</f>
        <v>-1284</v>
      </c>
      <c r="V32" s="483"/>
      <c r="W32" s="483">
        <f>W30-W31</f>
        <v>0</v>
      </c>
      <c r="X32" s="483"/>
      <c r="Y32" s="483">
        <f t="shared" si="5"/>
        <v>-1284</v>
      </c>
      <c r="Z32" s="484"/>
      <c r="AA32" s="305"/>
    </row>
    <row r="33" spans="1:27" ht="21.75" customHeight="1" thickBot="1">
      <c r="A33" s="71">
        <v>13</v>
      </c>
      <c r="B33" s="52" t="s">
        <v>43</v>
      </c>
      <c r="C33" s="43" t="s">
        <v>312</v>
      </c>
      <c r="D33" s="121"/>
      <c r="E33" s="53"/>
      <c r="F33" s="53"/>
      <c r="G33" s="53"/>
      <c r="H33" s="119"/>
      <c r="I33" s="119"/>
      <c r="J33" s="119"/>
      <c r="K33" s="119"/>
      <c r="L33" s="119"/>
      <c r="M33" s="53"/>
      <c r="N33" s="53"/>
      <c r="O33" s="497">
        <f>ÉVEK2011TŐL!D30</f>
        <v>0</v>
      </c>
      <c r="P33" s="483"/>
      <c r="Q33" s="503">
        <f>ÉVEK2011TŐL!D69</f>
        <v>0</v>
      </c>
      <c r="R33" s="503"/>
      <c r="S33" s="483">
        <f t="shared" si="4"/>
        <v>0</v>
      </c>
      <c r="T33" s="484"/>
      <c r="U33" s="497">
        <f>ÉVEK2011TŐL!E30</f>
        <v>0</v>
      </c>
      <c r="V33" s="483"/>
      <c r="W33" s="483">
        <f>ÉVEK2011TŐL!E69</f>
        <v>0</v>
      </c>
      <c r="X33" s="483"/>
      <c r="Y33" s="483">
        <f t="shared" si="5"/>
        <v>0</v>
      </c>
      <c r="Z33" s="484"/>
      <c r="AA33" s="305"/>
    </row>
    <row r="34" spans="1:27" ht="21.75" customHeight="1" thickBot="1">
      <c r="A34" s="41" t="s">
        <v>49</v>
      </c>
      <c r="B34" s="52" t="s">
        <v>43</v>
      </c>
      <c r="C34" s="43" t="s">
        <v>313</v>
      </c>
      <c r="D34" s="119"/>
      <c r="E34" s="53"/>
      <c r="F34" s="53"/>
      <c r="G34" s="53"/>
      <c r="H34" s="119"/>
      <c r="I34" s="119"/>
      <c r="J34" s="119"/>
      <c r="K34" s="119"/>
      <c r="L34" s="119"/>
      <c r="M34" s="53"/>
      <c r="N34" s="53"/>
      <c r="O34" s="497">
        <f>O32-O33</f>
        <v>-938</v>
      </c>
      <c r="P34" s="483"/>
      <c r="Q34" s="483">
        <f>Q32-Q33</f>
        <v>260</v>
      </c>
      <c r="R34" s="483"/>
      <c r="S34" s="483">
        <f t="shared" si="4"/>
        <v>-678</v>
      </c>
      <c r="T34" s="484"/>
      <c r="U34" s="497">
        <f>U32-U33</f>
        <v>-1284</v>
      </c>
      <c r="V34" s="483"/>
      <c r="W34" s="483">
        <f>W32-W33</f>
        <v>0</v>
      </c>
      <c r="X34" s="483"/>
      <c r="Y34" s="483">
        <f t="shared" si="5"/>
        <v>-1284</v>
      </c>
      <c r="Z34" s="484"/>
      <c r="AA34" s="305"/>
    </row>
    <row r="35" spans="1:27" ht="21.75" customHeight="1" thickBot="1">
      <c r="A35" s="490" t="s">
        <v>314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2"/>
      <c r="AA35" s="305"/>
    </row>
    <row r="36" spans="1:27" ht="21.75" customHeight="1">
      <c r="A36" s="345" t="s">
        <v>45</v>
      </c>
      <c r="B36" s="346" t="s">
        <v>43</v>
      </c>
      <c r="C36" s="347" t="s">
        <v>315</v>
      </c>
      <c r="D36" s="348"/>
      <c r="E36" s="95"/>
      <c r="F36" s="95"/>
      <c r="G36" s="95"/>
      <c r="H36" s="96"/>
      <c r="I36" s="96"/>
      <c r="J36" s="96"/>
      <c r="K36" s="96"/>
      <c r="L36" s="96"/>
      <c r="M36" s="95"/>
      <c r="N36" s="95"/>
      <c r="O36" s="493">
        <f>ÉVEK2011TŐL!D34</f>
        <v>0</v>
      </c>
      <c r="P36" s="494"/>
      <c r="Q36" s="494">
        <f>ÉVEK2011TŐL!D73</f>
        <v>0</v>
      </c>
      <c r="R36" s="494"/>
      <c r="S36" s="488">
        <f aca="true" t="shared" si="6" ref="S36:S41">O36+Q36</f>
        <v>0</v>
      </c>
      <c r="T36" s="489"/>
      <c r="U36" s="493">
        <f>ÉVEK2011TŐL!E34</f>
        <v>0</v>
      </c>
      <c r="V36" s="494"/>
      <c r="W36" s="494">
        <f>ÉVEK2011TŐL!E73</f>
        <v>0</v>
      </c>
      <c r="X36" s="494"/>
      <c r="Y36" s="488">
        <f aca="true" t="shared" si="7" ref="Y36:Y41">U36+W36</f>
        <v>0</v>
      </c>
      <c r="Z36" s="489"/>
      <c r="AA36" s="305"/>
    </row>
    <row r="37" spans="1:27" ht="21.75" customHeight="1">
      <c r="A37" s="90" t="s">
        <v>47</v>
      </c>
      <c r="B37" s="93" t="s">
        <v>43</v>
      </c>
      <c r="C37" s="35" t="s">
        <v>316</v>
      </c>
      <c r="D37" s="33"/>
      <c r="E37" s="49"/>
      <c r="F37" s="49"/>
      <c r="G37" s="49"/>
      <c r="H37" s="48"/>
      <c r="I37" s="48"/>
      <c r="J37" s="48"/>
      <c r="K37" s="48"/>
      <c r="L37" s="48"/>
      <c r="M37" s="49"/>
      <c r="N37" s="49"/>
      <c r="O37" s="496">
        <f>ÉVEK2011TŐL!D35</f>
        <v>1000</v>
      </c>
      <c r="P37" s="476"/>
      <c r="Q37" s="476">
        <f>ÉVEK2011TŐL!D74</f>
        <v>0</v>
      </c>
      <c r="R37" s="476"/>
      <c r="S37" s="473">
        <f t="shared" si="6"/>
        <v>1000</v>
      </c>
      <c r="T37" s="474"/>
      <c r="U37" s="496">
        <f>ÉVEK2011TŐL!E35</f>
        <v>860</v>
      </c>
      <c r="V37" s="476"/>
      <c r="W37" s="476">
        <f>ÉVEK2011TŐL!E74</f>
        <v>0</v>
      </c>
      <c r="X37" s="476"/>
      <c r="Y37" s="473">
        <f t="shared" si="7"/>
        <v>860</v>
      </c>
      <c r="Z37" s="474"/>
      <c r="AA37" s="305"/>
    </row>
    <row r="38" spans="1:27" s="120" customFormat="1" ht="21.75" customHeight="1">
      <c r="A38" s="90" t="s">
        <v>46</v>
      </c>
      <c r="B38" s="93" t="s">
        <v>43</v>
      </c>
      <c r="C38" s="470" t="s">
        <v>317</v>
      </c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2"/>
      <c r="O38" s="496">
        <f>ÉVEK2011TŐL!D36</f>
        <v>0</v>
      </c>
      <c r="P38" s="476"/>
      <c r="Q38" s="476">
        <f>ÉVEK2011TŐL!D75</f>
        <v>0</v>
      </c>
      <c r="R38" s="476"/>
      <c r="S38" s="473">
        <f t="shared" si="6"/>
        <v>0</v>
      </c>
      <c r="T38" s="474"/>
      <c r="U38" s="496">
        <f>ÉVEK2011TŐL!E36</f>
        <v>0</v>
      </c>
      <c r="V38" s="476"/>
      <c r="W38" s="476">
        <f>ÉVEK2011TŐL!E75</f>
        <v>0</v>
      </c>
      <c r="X38" s="476"/>
      <c r="Y38" s="473">
        <f t="shared" si="7"/>
        <v>0</v>
      </c>
      <c r="Z38" s="474"/>
      <c r="AA38" s="306"/>
    </row>
    <row r="39" spans="1:27" s="120" customFormat="1" ht="21.75" customHeight="1">
      <c r="A39" s="90" t="s">
        <v>48</v>
      </c>
      <c r="B39" s="93" t="s">
        <v>43</v>
      </c>
      <c r="C39" s="35" t="s">
        <v>318</v>
      </c>
      <c r="D39" s="33"/>
      <c r="E39" s="49"/>
      <c r="F39" s="49"/>
      <c r="G39" s="49"/>
      <c r="H39" s="48"/>
      <c r="I39" s="48"/>
      <c r="J39" s="48"/>
      <c r="K39" s="48"/>
      <c r="L39" s="48"/>
      <c r="M39" s="49"/>
      <c r="N39" s="49"/>
      <c r="O39" s="496">
        <f>ÉVEK2011TŐL!D37</f>
        <v>0</v>
      </c>
      <c r="P39" s="476"/>
      <c r="Q39" s="476">
        <f>ÉVEK2011TŐL!D76</f>
        <v>0</v>
      </c>
      <c r="R39" s="476"/>
      <c r="S39" s="473">
        <f t="shared" si="6"/>
        <v>0</v>
      </c>
      <c r="T39" s="474"/>
      <c r="U39" s="496">
        <f>ÉVEK2011TŐL!E37</f>
        <v>0</v>
      </c>
      <c r="V39" s="476"/>
      <c r="W39" s="476">
        <f>ÉVEK2011TŐL!E76</f>
        <v>0</v>
      </c>
      <c r="X39" s="476"/>
      <c r="Y39" s="473">
        <f t="shared" si="7"/>
        <v>0</v>
      </c>
      <c r="Z39" s="474"/>
      <c r="AA39" s="306"/>
    </row>
    <row r="40" spans="1:27" s="120" customFormat="1" ht="21.75" customHeight="1">
      <c r="A40" s="90" t="s">
        <v>49</v>
      </c>
      <c r="B40" s="93" t="s">
        <v>43</v>
      </c>
      <c r="C40" s="470" t="s">
        <v>319</v>
      </c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2"/>
      <c r="O40" s="496">
        <f>ÉVEK2011TŐL!D38</f>
        <v>187</v>
      </c>
      <c r="P40" s="476"/>
      <c r="Q40" s="476">
        <f>ÉVEK2011TŐL!D77</f>
        <v>0</v>
      </c>
      <c r="R40" s="476"/>
      <c r="S40" s="473">
        <f t="shared" si="6"/>
        <v>187</v>
      </c>
      <c r="T40" s="474"/>
      <c r="U40" s="496">
        <f>ÉVEK2011TŐL!E38</f>
        <v>179</v>
      </c>
      <c r="V40" s="476"/>
      <c r="W40" s="476">
        <f>ÉVEK2011TŐL!E77</f>
        <v>0</v>
      </c>
      <c r="X40" s="476"/>
      <c r="Y40" s="473">
        <f t="shared" si="7"/>
        <v>179</v>
      </c>
      <c r="Z40" s="474"/>
      <c r="AA40" s="306"/>
    </row>
    <row r="41" spans="1:27" s="120" customFormat="1" ht="21.75" customHeight="1" thickBot="1">
      <c r="A41" s="349" t="s">
        <v>50</v>
      </c>
      <c r="B41" s="350" t="s">
        <v>43</v>
      </c>
      <c r="C41" s="351" t="s">
        <v>320</v>
      </c>
      <c r="D41" s="72"/>
      <c r="E41" s="76"/>
      <c r="F41" s="72"/>
      <c r="G41" s="72"/>
      <c r="H41" s="76"/>
      <c r="I41" s="76"/>
      <c r="J41" s="76"/>
      <c r="K41" s="76"/>
      <c r="L41" s="76"/>
      <c r="M41" s="72"/>
      <c r="N41" s="72"/>
      <c r="O41" s="478">
        <f>ÉVEK2011TŐL!D39</f>
        <v>0</v>
      </c>
      <c r="P41" s="477"/>
      <c r="Q41" s="477">
        <f>ÉVEK2011TŐL!D78</f>
        <v>0</v>
      </c>
      <c r="R41" s="477"/>
      <c r="S41" s="462">
        <f t="shared" si="6"/>
        <v>0</v>
      </c>
      <c r="T41" s="475"/>
      <c r="U41" s="478">
        <f>ÉVEK2011TŐL!E39</f>
        <v>0</v>
      </c>
      <c r="V41" s="477"/>
      <c r="W41" s="477">
        <f>ÉVEK2011TŐL!E78</f>
        <v>0</v>
      </c>
      <c r="X41" s="477"/>
      <c r="Y41" s="462">
        <f t="shared" si="7"/>
        <v>0</v>
      </c>
      <c r="Z41" s="475"/>
      <c r="AA41" s="306"/>
    </row>
    <row r="42" spans="1:27" s="120" customFormat="1" ht="51" customHeight="1">
      <c r="A42" s="329"/>
      <c r="B42" s="37"/>
      <c r="C42" s="330"/>
      <c r="D42" s="331"/>
      <c r="E42" s="332"/>
      <c r="F42" s="332"/>
      <c r="G42" s="332"/>
      <c r="H42" s="331"/>
      <c r="I42" s="331"/>
      <c r="J42" s="331"/>
      <c r="K42" s="331"/>
      <c r="L42" s="331"/>
      <c r="M42" s="332"/>
      <c r="N42" s="332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06"/>
    </row>
    <row r="43" spans="1:27" ht="26.25" customHeight="1">
      <c r="A43" s="28" t="s">
        <v>15</v>
      </c>
      <c r="B43" s="28"/>
      <c r="C43" s="28"/>
      <c r="D43" s="230" t="str">
        <f>Fedőlap!$C$44</f>
        <v>Budapest, 2013. április 16.</v>
      </c>
      <c r="E43" s="22"/>
      <c r="F43" s="22"/>
      <c r="G43" s="22"/>
      <c r="H43" s="22"/>
      <c r="I43" s="22"/>
      <c r="J43" s="22"/>
      <c r="K43" s="231"/>
      <c r="L43" s="231"/>
      <c r="M43" s="28"/>
      <c r="N43" s="28"/>
      <c r="P43" s="63"/>
      <c r="Q43" s="63"/>
      <c r="R43" s="63"/>
      <c r="S43" s="63"/>
      <c r="T43" s="63"/>
      <c r="U43" s="63"/>
      <c r="V43" s="63"/>
      <c r="W43" s="63"/>
      <c r="X43" s="63"/>
      <c r="Y43" s="63"/>
      <c r="AA43" s="307"/>
    </row>
    <row r="44" spans="16:27" ht="12.75">
      <c r="P44" s="20" t="str">
        <f>Fedőlap!L45</f>
        <v>a szervezet vezetője</v>
      </c>
      <c r="Q44" s="20"/>
      <c r="R44" s="20"/>
      <c r="S44" s="20"/>
      <c r="T44" s="20"/>
      <c r="U44" s="20"/>
      <c r="V44" s="20"/>
      <c r="W44" s="20"/>
      <c r="X44" s="20"/>
      <c r="Y44" s="20"/>
      <c r="AA44" s="307"/>
    </row>
    <row r="45" spans="14:27" ht="15">
      <c r="N45" s="64" t="s">
        <v>44</v>
      </c>
      <c r="P45" s="20" t="str">
        <f>Fedőlap!L46</f>
        <v>(képviselője)</v>
      </c>
      <c r="Q45" s="20"/>
      <c r="R45" s="20"/>
      <c r="S45" s="20"/>
      <c r="T45" s="20"/>
      <c r="U45" s="20"/>
      <c r="V45" s="20"/>
      <c r="W45" s="20"/>
      <c r="X45" s="20"/>
      <c r="Y45" s="20"/>
      <c r="AA45" s="307"/>
    </row>
    <row r="46" ht="12.75">
      <c r="AA46" s="307"/>
    </row>
    <row r="47" ht="12.75">
      <c r="P47" t="str">
        <f>Fedőlap!K51</f>
        <v>„A közzétett adatok könyvvizsgálattal nincsenek alátámasztva”</v>
      </c>
    </row>
  </sheetData>
  <sheetProtection/>
  <mergeCells count="200">
    <mergeCell ref="O40:P40"/>
    <mergeCell ref="O38:P38"/>
    <mergeCell ref="O39:P39"/>
    <mergeCell ref="O10:P10"/>
    <mergeCell ref="O11:P11"/>
    <mergeCell ref="O12:P12"/>
    <mergeCell ref="O13:P13"/>
    <mergeCell ref="O20:P20"/>
    <mergeCell ref="O17:P17"/>
    <mergeCell ref="O23:P23"/>
    <mergeCell ref="O22:P22"/>
    <mergeCell ref="B1:C1"/>
    <mergeCell ref="A8:B9"/>
    <mergeCell ref="C8:N9"/>
    <mergeCell ref="O21:P21"/>
    <mergeCell ref="O14:P14"/>
    <mergeCell ref="O15:P15"/>
    <mergeCell ref="O16:P16"/>
    <mergeCell ref="Y19:Z19"/>
    <mergeCell ref="S26:T26"/>
    <mergeCell ref="S27:T27"/>
    <mergeCell ref="S28:T28"/>
    <mergeCell ref="U26:V26"/>
    <mergeCell ref="W19:X19"/>
    <mergeCell ref="U23:V23"/>
    <mergeCell ref="U24:V24"/>
    <mergeCell ref="U25:V25"/>
    <mergeCell ref="W20:X20"/>
    <mergeCell ref="U8:Z8"/>
    <mergeCell ref="U9:V9"/>
    <mergeCell ref="W9:X9"/>
    <mergeCell ref="Y9:Z9"/>
    <mergeCell ref="Y18:Z18"/>
    <mergeCell ref="W16:X16"/>
    <mergeCell ref="W17:X17"/>
    <mergeCell ref="U16:V16"/>
    <mergeCell ref="W18:X18"/>
    <mergeCell ref="O24:P24"/>
    <mergeCell ref="O25:P25"/>
    <mergeCell ref="O34:P34"/>
    <mergeCell ref="O28:P28"/>
    <mergeCell ref="O29:P29"/>
    <mergeCell ref="O30:P30"/>
    <mergeCell ref="O31:P31"/>
    <mergeCell ref="S9:T9"/>
    <mergeCell ref="O8:T8"/>
    <mergeCell ref="Q10:R10"/>
    <mergeCell ref="Q11:R11"/>
    <mergeCell ref="S10:T10"/>
    <mergeCell ref="S11:T11"/>
    <mergeCell ref="Q16:R16"/>
    <mergeCell ref="Q17:R17"/>
    <mergeCell ref="O41:P41"/>
    <mergeCell ref="O9:P9"/>
    <mergeCell ref="Q9:R9"/>
    <mergeCell ref="O32:P32"/>
    <mergeCell ref="O33:P33"/>
    <mergeCell ref="O37:P37"/>
    <mergeCell ref="O26:P26"/>
    <mergeCell ref="O27:P27"/>
    <mergeCell ref="Q12:R12"/>
    <mergeCell ref="Q13:R13"/>
    <mergeCell ref="Q14:R14"/>
    <mergeCell ref="Q15:R15"/>
    <mergeCell ref="Q29:R29"/>
    <mergeCell ref="Q30:R30"/>
    <mergeCell ref="Q31:R31"/>
    <mergeCell ref="Q20:R20"/>
    <mergeCell ref="Q21:R21"/>
    <mergeCell ref="Q22:R22"/>
    <mergeCell ref="Q23:R23"/>
    <mergeCell ref="S12:T12"/>
    <mergeCell ref="S13:T13"/>
    <mergeCell ref="S24:T24"/>
    <mergeCell ref="S25:T25"/>
    <mergeCell ref="S18:T18"/>
    <mergeCell ref="S19:T19"/>
    <mergeCell ref="S14:T14"/>
    <mergeCell ref="S15:T15"/>
    <mergeCell ref="S16:T16"/>
    <mergeCell ref="S17:T17"/>
    <mergeCell ref="Q40:R40"/>
    <mergeCell ref="Q41:R41"/>
    <mergeCell ref="Q33:R33"/>
    <mergeCell ref="Q34:R34"/>
    <mergeCell ref="Q36:R36"/>
    <mergeCell ref="Q37:R37"/>
    <mergeCell ref="U31:V31"/>
    <mergeCell ref="U32:V32"/>
    <mergeCell ref="Q24:R24"/>
    <mergeCell ref="Q25:R25"/>
    <mergeCell ref="S30:T30"/>
    <mergeCell ref="S31:T31"/>
    <mergeCell ref="Q32:R32"/>
    <mergeCell ref="Q26:R26"/>
    <mergeCell ref="Q27:R27"/>
    <mergeCell ref="Q28:R28"/>
    <mergeCell ref="S39:T39"/>
    <mergeCell ref="S40:T40"/>
    <mergeCell ref="S34:T34"/>
    <mergeCell ref="S20:T20"/>
    <mergeCell ref="S21:T21"/>
    <mergeCell ref="S22:T22"/>
    <mergeCell ref="S23:T23"/>
    <mergeCell ref="S32:T32"/>
    <mergeCell ref="S33:T33"/>
    <mergeCell ref="S29:T29"/>
    <mergeCell ref="U10:V10"/>
    <mergeCell ref="U11:V11"/>
    <mergeCell ref="U12:V12"/>
    <mergeCell ref="U13:V13"/>
    <mergeCell ref="U14:V14"/>
    <mergeCell ref="U15:V15"/>
    <mergeCell ref="U20:V20"/>
    <mergeCell ref="U17:V17"/>
    <mergeCell ref="U19:V19"/>
    <mergeCell ref="U18:V18"/>
    <mergeCell ref="W14:X14"/>
    <mergeCell ref="W15:X15"/>
    <mergeCell ref="U33:V33"/>
    <mergeCell ref="U34:V34"/>
    <mergeCell ref="U27:V27"/>
    <mergeCell ref="U28:V28"/>
    <mergeCell ref="U29:V29"/>
    <mergeCell ref="U30:V30"/>
    <mergeCell ref="U21:V21"/>
    <mergeCell ref="U22:V22"/>
    <mergeCell ref="W10:X10"/>
    <mergeCell ref="W11:X11"/>
    <mergeCell ref="W12:X12"/>
    <mergeCell ref="W13:X13"/>
    <mergeCell ref="U39:V39"/>
    <mergeCell ref="U40:V40"/>
    <mergeCell ref="U36:V36"/>
    <mergeCell ref="U37:V37"/>
    <mergeCell ref="U38:V38"/>
    <mergeCell ref="W21:X21"/>
    <mergeCell ref="W22:X22"/>
    <mergeCell ref="W23:X23"/>
    <mergeCell ref="W32:X32"/>
    <mergeCell ref="W33:X33"/>
    <mergeCell ref="W34:X34"/>
    <mergeCell ref="W28:X28"/>
    <mergeCell ref="W29:X29"/>
    <mergeCell ref="Y20:Z20"/>
    <mergeCell ref="W36:X36"/>
    <mergeCell ref="W37:X37"/>
    <mergeCell ref="W38:X38"/>
    <mergeCell ref="W24:X24"/>
    <mergeCell ref="W25:X25"/>
    <mergeCell ref="W26:X26"/>
    <mergeCell ref="W27:X27"/>
    <mergeCell ref="W30:X30"/>
    <mergeCell ref="W31:X31"/>
    <mergeCell ref="Y25:Z25"/>
    <mergeCell ref="Y26:Z26"/>
    <mergeCell ref="Y10:Z10"/>
    <mergeCell ref="Y11:Z11"/>
    <mergeCell ref="Y12:Z12"/>
    <mergeCell ref="Y13:Z13"/>
    <mergeCell ref="Y14:Z14"/>
    <mergeCell ref="Y15:Z15"/>
    <mergeCell ref="Y16:Z16"/>
    <mergeCell ref="Y17:Z17"/>
    <mergeCell ref="Y21:Z21"/>
    <mergeCell ref="Y22:Z22"/>
    <mergeCell ref="Y23:Z23"/>
    <mergeCell ref="Y24:Z24"/>
    <mergeCell ref="Y36:Z36"/>
    <mergeCell ref="Y37:Z37"/>
    <mergeCell ref="Y38:Z38"/>
    <mergeCell ref="A35:Z35"/>
    <mergeCell ref="C38:N38"/>
    <mergeCell ref="Q38:R38"/>
    <mergeCell ref="S36:T36"/>
    <mergeCell ref="S37:T37"/>
    <mergeCell ref="S38:T38"/>
    <mergeCell ref="O36:P36"/>
    <mergeCell ref="Y33:Z33"/>
    <mergeCell ref="Y34:Z34"/>
    <mergeCell ref="Y27:Z27"/>
    <mergeCell ref="Y28:Z28"/>
    <mergeCell ref="Y29:Z29"/>
    <mergeCell ref="Y30:Z30"/>
    <mergeCell ref="Y31:Z31"/>
    <mergeCell ref="Y32:Z32"/>
    <mergeCell ref="O18:P18"/>
    <mergeCell ref="O19:P19"/>
    <mergeCell ref="Q18:R18"/>
    <mergeCell ref="Q19:R19"/>
    <mergeCell ref="C40:N40"/>
    <mergeCell ref="Y39:Z39"/>
    <mergeCell ref="Y40:Z40"/>
    <mergeCell ref="Y41:Z41"/>
    <mergeCell ref="W39:X39"/>
    <mergeCell ref="W40:X40"/>
    <mergeCell ref="W41:X41"/>
    <mergeCell ref="U41:V41"/>
    <mergeCell ref="S41:T41"/>
    <mergeCell ref="Q39:R39"/>
  </mergeCells>
  <printOptions horizontalCentered="1"/>
  <pageMargins left="0.15748031496062992" right="0.15748031496062992" top="0.58" bottom="0.3937007874015748" header="0.82" footer="0.5118110236220472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.875" style="0" customWidth="1"/>
    <col min="3" max="3" width="5.125" style="0" customWidth="1"/>
    <col min="4" max="4" width="5.375" style="0" customWidth="1"/>
    <col min="5" max="5" width="4.75390625" style="0" customWidth="1"/>
    <col min="6" max="8" width="4.25390625" style="0" customWidth="1"/>
    <col min="9" max="15" width="4.375" style="0" customWidth="1"/>
    <col min="16" max="16" width="4.25390625" style="0" customWidth="1"/>
    <col min="17" max="17" width="4.75390625" style="0" customWidth="1"/>
    <col min="18" max="18" width="3.25390625" style="0" customWidth="1"/>
    <col min="19" max="19" width="6.625" style="0" customWidth="1"/>
    <col min="20" max="20" width="4.25390625" style="0" customWidth="1"/>
    <col min="21" max="21" width="4.00390625" style="0" customWidth="1"/>
    <col min="22" max="22" width="1.12109375" style="0" customWidth="1"/>
  </cols>
  <sheetData>
    <row r="1" spans="1:22" ht="18.75" thickBot="1">
      <c r="A1" s="17" t="str">
        <f>Fedőlap!$A$1</f>
        <v>1</v>
      </c>
      <c r="B1" s="117" t="str">
        <f>Fedőlap!$B$1</f>
        <v>9</v>
      </c>
      <c r="C1" s="19" t="str">
        <f>Fedőlap!$C$1</f>
        <v>6</v>
      </c>
      <c r="D1" s="19" t="str">
        <f>Fedőlap!$D$1</f>
        <v>2</v>
      </c>
      <c r="E1" s="19" t="str">
        <f>Fedőlap!$E$1</f>
        <v>2</v>
      </c>
      <c r="F1" s="19" t="str">
        <f>Fedőlap!$F$1</f>
        <v>6</v>
      </c>
      <c r="G1" s="19" t="str">
        <f>Fedőlap!$G$1</f>
        <v>8</v>
      </c>
      <c r="H1" s="18" t="str">
        <f>Fedőlap!$H$1</f>
        <v>4</v>
      </c>
      <c r="I1" s="17" t="str">
        <f>Fedőlap!$I$1</f>
        <v>9</v>
      </c>
      <c r="J1" s="19">
        <f>Fedőlap!$J$1</f>
        <v>4</v>
      </c>
      <c r="K1" s="19">
        <f>Fedőlap!$K$1</f>
        <v>9</v>
      </c>
      <c r="L1" s="19" t="str">
        <f>Fedőlap!$L$1</f>
        <v>9</v>
      </c>
      <c r="M1" s="19" t="str">
        <f>Fedőlap!$M$1</f>
        <v>5</v>
      </c>
      <c r="N1" s="19" t="str">
        <f>Fedőlap!$N$1</f>
        <v>2</v>
      </c>
      <c r="O1" s="19">
        <f>Fedőlap!$O$1</f>
        <v>2</v>
      </c>
      <c r="P1" s="19" t="str">
        <f>Fedőlap!$P$1</f>
        <v>0</v>
      </c>
      <c r="Q1" s="117" t="str">
        <f>Fedőlap!$Q$1</f>
        <v>1</v>
      </c>
      <c r="R1" s="277"/>
      <c r="S1" s="322"/>
      <c r="T1" s="16"/>
      <c r="U1" s="1"/>
      <c r="V1" s="1"/>
    </row>
    <row r="2" spans="1:22" ht="12.75">
      <c r="A2" s="2" t="str">
        <f>Fedőlap!A2</f>
        <v>Statisztikai számjel</v>
      </c>
      <c r="B2" s="2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2" ht="12.75">
      <c r="A3" s="1"/>
      <c r="B3" s="1"/>
      <c r="C3" s="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21" t="str">
        <f>Fedőlap!$B$9</f>
        <v>Budapesti Tájfutók Szövetsége</v>
      </c>
      <c r="B4" s="21"/>
      <c r="C4" s="7"/>
      <c r="D4" s="22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</row>
    <row r="5" spans="1:13" ht="12.75">
      <c r="A5" s="6" t="str">
        <f>Fedőlap!A30</f>
        <v>- Egyszerűsített éves beszámoló KIEGÉSZÍTŐ MELLÉKLETE</v>
      </c>
      <c r="B5" s="6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522" t="str">
        <f>Fedőlap!B31</f>
        <v>- TÁMOGATÁSOK FELHASZNÁLÁSA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</row>
    <row r="8" spans="1:22" ht="13.5" thickBot="1">
      <c r="A8" s="321" t="s">
        <v>269</v>
      </c>
      <c r="B8" s="321"/>
      <c r="T8" s="543" t="s">
        <v>132</v>
      </c>
      <c r="U8" s="543"/>
      <c r="V8" s="543"/>
    </row>
    <row r="9" spans="1:22" ht="13.5" customHeight="1" thickBot="1">
      <c r="A9" s="531" t="s">
        <v>68</v>
      </c>
      <c r="B9" s="532"/>
      <c r="C9" s="532"/>
      <c r="D9" s="544" t="s">
        <v>69</v>
      </c>
      <c r="E9" s="545"/>
      <c r="F9" s="545"/>
      <c r="G9" s="546"/>
      <c r="H9" s="531" t="s">
        <v>72</v>
      </c>
      <c r="I9" s="532"/>
      <c r="J9" s="532"/>
      <c r="K9" s="532"/>
      <c r="L9" s="532"/>
      <c r="M9" s="532"/>
      <c r="N9" s="532"/>
      <c r="O9" s="533"/>
      <c r="P9" s="547" t="s">
        <v>73</v>
      </c>
      <c r="Q9" s="548"/>
      <c r="R9" s="548"/>
      <c r="S9" s="549"/>
      <c r="T9" s="531" t="s">
        <v>76</v>
      </c>
      <c r="U9" s="532"/>
      <c r="V9" s="533"/>
    </row>
    <row r="10" spans="1:22" ht="13.5" thickBot="1">
      <c r="A10" s="534"/>
      <c r="B10" s="535"/>
      <c r="C10" s="535"/>
      <c r="D10" s="544" t="s">
        <v>70</v>
      </c>
      <c r="E10" s="546"/>
      <c r="F10" s="544" t="s">
        <v>71</v>
      </c>
      <c r="G10" s="546"/>
      <c r="H10" s="534"/>
      <c r="I10" s="535"/>
      <c r="J10" s="535"/>
      <c r="K10" s="535"/>
      <c r="L10" s="535"/>
      <c r="M10" s="535"/>
      <c r="N10" s="535"/>
      <c r="O10" s="536"/>
      <c r="P10" s="547" t="s">
        <v>74</v>
      </c>
      <c r="Q10" s="549"/>
      <c r="R10" s="544" t="s">
        <v>75</v>
      </c>
      <c r="S10" s="546"/>
      <c r="T10" s="534"/>
      <c r="U10" s="535"/>
      <c r="V10" s="536"/>
    </row>
    <row r="11" spans="1:22" ht="12.75">
      <c r="A11" s="102"/>
      <c r="B11" s="103"/>
      <c r="C11" s="68"/>
      <c r="D11" s="550"/>
      <c r="E11" s="551"/>
      <c r="F11" s="537"/>
      <c r="G11" s="552"/>
      <c r="H11" s="102"/>
      <c r="I11" s="103"/>
      <c r="J11" s="103"/>
      <c r="K11" s="103"/>
      <c r="L11" s="103"/>
      <c r="M11" s="103"/>
      <c r="N11" s="103"/>
      <c r="O11" s="68"/>
      <c r="P11" s="537"/>
      <c r="Q11" s="552"/>
      <c r="R11" s="537"/>
      <c r="S11" s="552"/>
      <c r="T11" s="537">
        <f>F11-P11-R11</f>
        <v>0</v>
      </c>
      <c r="U11" s="538"/>
      <c r="V11" s="68"/>
    </row>
    <row r="12" spans="1:22" ht="12.75">
      <c r="A12" s="102"/>
      <c r="B12" s="103"/>
      <c r="C12" s="103"/>
      <c r="D12" s="550"/>
      <c r="E12" s="551"/>
      <c r="F12" s="537"/>
      <c r="G12" s="552"/>
      <c r="H12" s="102"/>
      <c r="I12" s="103"/>
      <c r="J12" s="103"/>
      <c r="K12" s="103"/>
      <c r="L12" s="103"/>
      <c r="M12" s="103"/>
      <c r="N12" s="103"/>
      <c r="O12" s="68"/>
      <c r="P12" s="537"/>
      <c r="Q12" s="552"/>
      <c r="R12" s="537"/>
      <c r="S12" s="552"/>
      <c r="T12" s="537">
        <f>F12-P12-R12</f>
        <v>0</v>
      </c>
      <c r="U12" s="538"/>
      <c r="V12" s="68"/>
    </row>
    <row r="13" spans="1:22" ht="13.5" thickBot="1">
      <c r="A13" s="102"/>
      <c r="B13" s="279"/>
      <c r="C13" s="279"/>
      <c r="D13" s="550"/>
      <c r="E13" s="551"/>
      <c r="F13" s="537"/>
      <c r="G13" s="552"/>
      <c r="H13" s="102"/>
      <c r="I13" s="279"/>
      <c r="J13" s="279"/>
      <c r="K13" s="279"/>
      <c r="L13" s="279"/>
      <c r="M13" s="279"/>
      <c r="N13" s="279"/>
      <c r="O13" s="69"/>
      <c r="P13" s="537"/>
      <c r="Q13" s="552"/>
      <c r="R13" s="537"/>
      <c r="S13" s="552"/>
      <c r="T13" s="537">
        <f>F13-P13-R13</f>
        <v>0</v>
      </c>
      <c r="U13" s="538"/>
      <c r="V13" s="69"/>
    </row>
    <row r="14" spans="1:22" ht="13.5" thickBot="1">
      <c r="A14" s="391" t="s">
        <v>111</v>
      </c>
      <c r="B14" s="338"/>
      <c r="C14" s="338"/>
      <c r="D14" s="553"/>
      <c r="E14" s="554"/>
      <c r="F14" s="555">
        <f>SUM(F11:G13)</f>
        <v>0</v>
      </c>
      <c r="G14" s="556"/>
      <c r="H14" s="391" t="s">
        <v>111</v>
      </c>
      <c r="I14" s="338"/>
      <c r="J14" s="338"/>
      <c r="K14" s="338"/>
      <c r="L14" s="338"/>
      <c r="M14" s="338"/>
      <c r="N14" s="338"/>
      <c r="O14" s="392"/>
      <c r="P14" s="541">
        <f>SUM(P11:Q13)</f>
        <v>0</v>
      </c>
      <c r="Q14" s="557"/>
      <c r="R14" s="541">
        <f>SUM(R11:S13)</f>
        <v>0</v>
      </c>
      <c r="S14" s="557"/>
      <c r="T14" s="541">
        <f>F14-P14-R14</f>
        <v>0</v>
      </c>
      <c r="U14" s="542"/>
      <c r="V14" s="392"/>
    </row>
    <row r="15" spans="1:22" ht="12.75">
      <c r="A15" s="523" t="s">
        <v>270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5"/>
    </row>
    <row r="16" spans="1:22" ht="13.5" thickBot="1">
      <c r="A16" s="104"/>
      <c r="B16" s="105"/>
      <c r="C16" s="105"/>
      <c r="D16" s="526"/>
      <c r="E16" s="527"/>
      <c r="F16" s="528"/>
      <c r="G16" s="529"/>
      <c r="H16" s="104"/>
      <c r="I16" s="105"/>
      <c r="J16" s="105"/>
      <c r="K16" s="105"/>
      <c r="L16" s="105"/>
      <c r="M16" s="105"/>
      <c r="N16" s="105"/>
      <c r="O16" s="27"/>
      <c r="P16" s="528"/>
      <c r="Q16" s="529"/>
      <c r="R16" s="528"/>
      <c r="S16" s="529"/>
      <c r="T16" s="528">
        <f>F16-P16-R16</f>
        <v>0</v>
      </c>
      <c r="U16" s="530"/>
      <c r="V16" s="27"/>
    </row>
    <row r="17" spans="1:22" ht="23.25" customHeight="1">
      <c r="A17" s="28"/>
      <c r="B17" s="28"/>
      <c r="C17" s="28"/>
      <c r="D17" s="134"/>
      <c r="E17" s="134"/>
      <c r="F17" s="135"/>
      <c r="G17" s="135"/>
      <c r="H17" s="28"/>
      <c r="I17" s="28"/>
      <c r="J17" s="28"/>
      <c r="K17" s="28"/>
      <c r="L17" s="28"/>
      <c r="M17" s="28"/>
      <c r="N17" s="28"/>
      <c r="O17" s="28"/>
      <c r="P17" s="136"/>
      <c r="Q17" s="136"/>
      <c r="R17" s="136"/>
      <c r="S17" s="136"/>
      <c r="T17" s="136"/>
      <c r="U17" s="134"/>
      <c r="V17" s="28"/>
    </row>
    <row r="18" spans="1:22" ht="13.5" thickBot="1">
      <c r="A18" s="321" t="s">
        <v>286</v>
      </c>
      <c r="B18" s="321"/>
      <c r="T18" s="543" t="s">
        <v>132</v>
      </c>
      <c r="U18" s="543"/>
      <c r="V18" s="543"/>
    </row>
    <row r="19" spans="1:22" ht="13.5" customHeight="1" thickBot="1">
      <c r="A19" s="531" t="s">
        <v>68</v>
      </c>
      <c r="B19" s="532"/>
      <c r="C19" s="532"/>
      <c r="D19" s="544" t="s">
        <v>69</v>
      </c>
      <c r="E19" s="545"/>
      <c r="F19" s="545"/>
      <c r="G19" s="546"/>
      <c r="H19" s="531" t="s">
        <v>72</v>
      </c>
      <c r="I19" s="532"/>
      <c r="J19" s="532"/>
      <c r="K19" s="532"/>
      <c r="L19" s="532"/>
      <c r="M19" s="532"/>
      <c r="N19" s="532"/>
      <c r="O19" s="533"/>
      <c r="P19" s="547" t="s">
        <v>73</v>
      </c>
      <c r="Q19" s="548"/>
      <c r="R19" s="548"/>
      <c r="S19" s="549"/>
      <c r="T19" s="531" t="s">
        <v>76</v>
      </c>
      <c r="U19" s="532"/>
      <c r="V19" s="533"/>
    </row>
    <row r="20" spans="1:22" ht="13.5" thickBot="1">
      <c r="A20" s="534"/>
      <c r="B20" s="535"/>
      <c r="C20" s="535"/>
      <c r="D20" s="544" t="s">
        <v>70</v>
      </c>
      <c r="E20" s="546"/>
      <c r="F20" s="544" t="s">
        <v>71</v>
      </c>
      <c r="G20" s="546"/>
      <c r="H20" s="534"/>
      <c r="I20" s="535"/>
      <c r="J20" s="535"/>
      <c r="K20" s="535"/>
      <c r="L20" s="535"/>
      <c r="M20" s="535"/>
      <c r="N20" s="535"/>
      <c r="O20" s="536"/>
      <c r="P20" s="547" t="s">
        <v>74</v>
      </c>
      <c r="Q20" s="549"/>
      <c r="R20" s="544" t="s">
        <v>75</v>
      </c>
      <c r="S20" s="546"/>
      <c r="T20" s="534"/>
      <c r="U20" s="535"/>
      <c r="V20" s="536"/>
    </row>
    <row r="21" spans="1:22" ht="12.75">
      <c r="A21" s="102" t="s">
        <v>357</v>
      </c>
      <c r="B21" s="103"/>
      <c r="C21" s="103"/>
      <c r="D21" s="560">
        <v>41092</v>
      </c>
      <c r="E21" s="561"/>
      <c r="F21" s="558">
        <v>430</v>
      </c>
      <c r="G21" s="562"/>
      <c r="H21" s="102" t="s">
        <v>523</v>
      </c>
      <c r="I21" s="103"/>
      <c r="J21" s="103"/>
      <c r="K21" s="103"/>
      <c r="L21" s="103"/>
      <c r="M21" s="103"/>
      <c r="N21" s="103"/>
      <c r="O21" s="68"/>
      <c r="P21" s="558"/>
      <c r="Q21" s="562"/>
      <c r="R21" s="558">
        <v>430</v>
      </c>
      <c r="S21" s="562"/>
      <c r="T21" s="558">
        <f>F21-P21-R21</f>
        <v>0</v>
      </c>
      <c r="U21" s="559"/>
      <c r="V21" s="68"/>
    </row>
    <row r="22" spans="1:22" ht="12.75">
      <c r="A22" s="102" t="s">
        <v>357</v>
      </c>
      <c r="B22" s="279"/>
      <c r="C22" s="279"/>
      <c r="D22" s="550">
        <v>41124</v>
      </c>
      <c r="E22" s="551"/>
      <c r="F22" s="537">
        <v>215</v>
      </c>
      <c r="G22" s="552"/>
      <c r="H22" s="102" t="s">
        <v>523</v>
      </c>
      <c r="I22" s="279"/>
      <c r="J22" s="279"/>
      <c r="K22" s="279"/>
      <c r="L22" s="279"/>
      <c r="M22" s="279"/>
      <c r="N22" s="279"/>
      <c r="O22" s="69"/>
      <c r="P22" s="537"/>
      <c r="Q22" s="552"/>
      <c r="R22" s="537">
        <v>215</v>
      </c>
      <c r="S22" s="552"/>
      <c r="T22" s="537">
        <f>F22-P22-R22</f>
        <v>0</v>
      </c>
      <c r="U22" s="538"/>
      <c r="V22" s="69"/>
    </row>
    <row r="23" spans="1:22" ht="13.5" thickBot="1">
      <c r="A23" s="390" t="s">
        <v>357</v>
      </c>
      <c r="B23" s="279"/>
      <c r="C23" s="279"/>
      <c r="D23" s="563">
        <v>41187</v>
      </c>
      <c r="E23" s="564"/>
      <c r="F23" s="539">
        <v>215</v>
      </c>
      <c r="G23" s="565"/>
      <c r="H23" s="390" t="s">
        <v>523</v>
      </c>
      <c r="I23" s="279"/>
      <c r="J23" s="279"/>
      <c r="K23" s="279"/>
      <c r="L23" s="279"/>
      <c r="M23" s="279"/>
      <c r="N23" s="279"/>
      <c r="O23" s="69"/>
      <c r="P23" s="539"/>
      <c r="Q23" s="565"/>
      <c r="R23" s="539">
        <v>215</v>
      </c>
      <c r="S23" s="565"/>
      <c r="T23" s="539">
        <f>F23-P23-R23</f>
        <v>0</v>
      </c>
      <c r="U23" s="540"/>
      <c r="V23" s="69"/>
    </row>
    <row r="24" spans="1:22" ht="13.5" thickBot="1">
      <c r="A24" s="391" t="s">
        <v>111</v>
      </c>
      <c r="B24" s="338"/>
      <c r="C24" s="338"/>
      <c r="D24" s="553"/>
      <c r="E24" s="554"/>
      <c r="F24" s="555">
        <f>SUM(F21:G23)</f>
        <v>860</v>
      </c>
      <c r="G24" s="556"/>
      <c r="H24" s="391" t="s">
        <v>111</v>
      </c>
      <c r="I24" s="338"/>
      <c r="J24" s="338"/>
      <c r="K24" s="338"/>
      <c r="L24" s="338"/>
      <c r="M24" s="338"/>
      <c r="N24" s="338"/>
      <c r="O24" s="392"/>
      <c r="P24" s="541">
        <f>SUM(P21:Q21)</f>
        <v>0</v>
      </c>
      <c r="Q24" s="557"/>
      <c r="R24" s="541">
        <f>SUM(R21:S23)</f>
        <v>860</v>
      </c>
      <c r="S24" s="557"/>
      <c r="T24" s="541">
        <f>F24-P24-R24</f>
        <v>0</v>
      </c>
      <c r="U24" s="542"/>
      <c r="V24" s="392"/>
    </row>
    <row r="25" spans="1:22" ht="12.75">
      <c r="A25" s="523" t="s">
        <v>270</v>
      </c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5"/>
    </row>
    <row r="26" spans="1:22" ht="13.5" thickBot="1">
      <c r="A26" s="104"/>
      <c r="B26" s="105"/>
      <c r="C26" s="105"/>
      <c r="D26" s="526"/>
      <c r="E26" s="527"/>
      <c r="F26" s="528"/>
      <c r="G26" s="529"/>
      <c r="H26" s="104"/>
      <c r="I26" s="105"/>
      <c r="J26" s="105"/>
      <c r="K26" s="105"/>
      <c r="L26" s="105"/>
      <c r="M26" s="105"/>
      <c r="N26" s="105"/>
      <c r="O26" s="27"/>
      <c r="P26" s="528"/>
      <c r="Q26" s="529"/>
      <c r="R26" s="528"/>
      <c r="S26" s="529"/>
      <c r="T26" s="528">
        <f>F26-P26-R26</f>
        <v>0</v>
      </c>
      <c r="U26" s="530"/>
      <c r="V26" s="27"/>
    </row>
    <row r="27" spans="1:22" ht="24" customHeight="1">
      <c r="A27" s="28"/>
      <c r="B27" s="28"/>
      <c r="C27" s="28"/>
      <c r="D27" s="134"/>
      <c r="E27" s="134"/>
      <c r="F27" s="135"/>
      <c r="G27" s="135"/>
      <c r="H27" s="28"/>
      <c r="I27" s="28"/>
      <c r="J27" s="28"/>
      <c r="K27" s="28"/>
      <c r="L27" s="28"/>
      <c r="M27" s="28"/>
      <c r="N27" s="28"/>
      <c r="O27" s="28"/>
      <c r="P27" s="136"/>
      <c r="Q27" s="136"/>
      <c r="R27" s="136"/>
      <c r="S27" s="136"/>
      <c r="T27" s="136"/>
      <c r="U27" s="136"/>
      <c r="V27" s="28"/>
    </row>
    <row r="28" spans="1:22" ht="13.5" thickBot="1">
      <c r="A28" s="321" t="s">
        <v>287</v>
      </c>
      <c r="B28" s="321"/>
      <c r="T28" s="543" t="s">
        <v>132</v>
      </c>
      <c r="U28" s="543"/>
      <c r="V28" s="543"/>
    </row>
    <row r="29" spans="1:22" ht="13.5" customHeight="1" thickBot="1">
      <c r="A29" s="531" t="s">
        <v>68</v>
      </c>
      <c r="B29" s="532"/>
      <c r="C29" s="532"/>
      <c r="D29" s="544" t="s">
        <v>69</v>
      </c>
      <c r="E29" s="545"/>
      <c r="F29" s="545"/>
      <c r="G29" s="546"/>
      <c r="H29" s="531" t="s">
        <v>72</v>
      </c>
      <c r="I29" s="532"/>
      <c r="J29" s="532"/>
      <c r="K29" s="532"/>
      <c r="L29" s="532"/>
      <c r="M29" s="532"/>
      <c r="N29" s="532"/>
      <c r="O29" s="533"/>
      <c r="P29" s="547" t="s">
        <v>73</v>
      </c>
      <c r="Q29" s="548"/>
      <c r="R29" s="548"/>
      <c r="S29" s="549"/>
      <c r="T29" s="531" t="s">
        <v>76</v>
      </c>
      <c r="U29" s="532"/>
      <c r="V29" s="533"/>
    </row>
    <row r="30" spans="1:22" ht="13.5" thickBot="1">
      <c r="A30" s="534"/>
      <c r="B30" s="535"/>
      <c r="C30" s="535"/>
      <c r="D30" s="544" t="s">
        <v>70</v>
      </c>
      <c r="E30" s="546"/>
      <c r="F30" s="544" t="s">
        <v>71</v>
      </c>
      <c r="G30" s="546"/>
      <c r="H30" s="534"/>
      <c r="I30" s="535"/>
      <c r="J30" s="535"/>
      <c r="K30" s="535"/>
      <c r="L30" s="535"/>
      <c r="M30" s="535"/>
      <c r="N30" s="535"/>
      <c r="O30" s="536"/>
      <c r="P30" s="547" t="s">
        <v>74</v>
      </c>
      <c r="Q30" s="549"/>
      <c r="R30" s="544" t="s">
        <v>75</v>
      </c>
      <c r="S30" s="546"/>
      <c r="T30" s="534"/>
      <c r="U30" s="535"/>
      <c r="V30" s="536"/>
    </row>
    <row r="31" spans="1:22" ht="12.75">
      <c r="A31" s="102"/>
      <c r="B31" s="103"/>
      <c r="C31" s="103"/>
      <c r="D31" s="560"/>
      <c r="E31" s="561"/>
      <c r="F31" s="558"/>
      <c r="G31" s="562"/>
      <c r="H31" s="102"/>
      <c r="I31" s="103"/>
      <c r="J31" s="103"/>
      <c r="K31" s="103"/>
      <c r="L31" s="103"/>
      <c r="M31" s="103"/>
      <c r="N31" s="103"/>
      <c r="O31" s="68"/>
      <c r="P31" s="558"/>
      <c r="Q31" s="562"/>
      <c r="R31" s="558"/>
      <c r="S31" s="562"/>
      <c r="T31" s="558">
        <f>F31-P31-R31</f>
        <v>0</v>
      </c>
      <c r="U31" s="559"/>
      <c r="V31" s="68"/>
    </row>
    <row r="32" spans="1:22" ht="12.75">
      <c r="A32" s="102"/>
      <c r="B32" s="103"/>
      <c r="C32" s="103"/>
      <c r="D32" s="550"/>
      <c r="E32" s="551"/>
      <c r="F32" s="537"/>
      <c r="G32" s="552"/>
      <c r="H32" s="102"/>
      <c r="I32" s="103"/>
      <c r="J32" s="103"/>
      <c r="K32" s="103"/>
      <c r="L32" s="103"/>
      <c r="M32" s="103"/>
      <c r="N32" s="103"/>
      <c r="O32" s="68"/>
      <c r="P32" s="537"/>
      <c r="Q32" s="552"/>
      <c r="R32" s="537"/>
      <c r="S32" s="552"/>
      <c r="T32" s="537">
        <f>F32-P32-R32</f>
        <v>0</v>
      </c>
      <c r="U32" s="538"/>
      <c r="V32" s="68"/>
    </row>
    <row r="33" spans="1:22" ht="13.5" thickBot="1">
      <c r="A33" s="390"/>
      <c r="B33" s="279"/>
      <c r="C33" s="279"/>
      <c r="D33" s="563"/>
      <c r="E33" s="564"/>
      <c r="F33" s="539"/>
      <c r="G33" s="565"/>
      <c r="H33" s="390"/>
      <c r="I33" s="279"/>
      <c r="J33" s="279"/>
      <c r="K33" s="279"/>
      <c r="L33" s="279"/>
      <c r="M33" s="279"/>
      <c r="N33" s="279"/>
      <c r="O33" s="69"/>
      <c r="P33" s="539"/>
      <c r="Q33" s="565"/>
      <c r="R33" s="539"/>
      <c r="S33" s="565"/>
      <c r="T33" s="539">
        <f>F33-P33-R33</f>
        <v>0</v>
      </c>
      <c r="U33" s="540"/>
      <c r="V33" s="69"/>
    </row>
    <row r="34" spans="1:22" ht="13.5" thickBot="1">
      <c r="A34" s="391" t="s">
        <v>111</v>
      </c>
      <c r="B34" s="338"/>
      <c r="C34" s="338"/>
      <c r="D34" s="553"/>
      <c r="E34" s="554"/>
      <c r="F34" s="555">
        <f>SUM(F31:G33)</f>
        <v>0</v>
      </c>
      <c r="G34" s="556"/>
      <c r="H34" s="391" t="s">
        <v>111</v>
      </c>
      <c r="I34" s="338"/>
      <c r="J34" s="338"/>
      <c r="K34" s="338"/>
      <c r="L34" s="338"/>
      <c r="M34" s="338"/>
      <c r="N34" s="338"/>
      <c r="O34" s="392"/>
      <c r="P34" s="541">
        <f>SUM(P31:Q32)</f>
        <v>0</v>
      </c>
      <c r="Q34" s="557"/>
      <c r="R34" s="541">
        <f>SUM(R31:S33)</f>
        <v>0</v>
      </c>
      <c r="S34" s="557"/>
      <c r="T34" s="541">
        <f>F34-P34-R34</f>
        <v>0</v>
      </c>
      <c r="U34" s="542"/>
      <c r="V34" s="392"/>
    </row>
    <row r="35" spans="1:22" ht="12.75">
      <c r="A35" s="523" t="s">
        <v>270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5"/>
    </row>
    <row r="36" spans="1:22" ht="13.5" thickBot="1">
      <c r="A36" s="104"/>
      <c r="B36" s="105"/>
      <c r="C36" s="105"/>
      <c r="D36" s="526"/>
      <c r="E36" s="527"/>
      <c r="F36" s="528"/>
      <c r="G36" s="529"/>
      <c r="H36" s="104"/>
      <c r="I36" s="105"/>
      <c r="J36" s="105"/>
      <c r="K36" s="105"/>
      <c r="L36" s="105"/>
      <c r="M36" s="105"/>
      <c r="N36" s="105"/>
      <c r="O36" s="27"/>
      <c r="P36" s="528"/>
      <c r="Q36" s="529"/>
      <c r="R36" s="528"/>
      <c r="S36" s="529"/>
      <c r="T36" s="528">
        <f>F36-P36-R36</f>
        <v>0</v>
      </c>
      <c r="U36" s="530"/>
      <c r="V36" s="27"/>
    </row>
    <row r="37" spans="1:22" ht="24.75" customHeight="1">
      <c r="A37" s="28"/>
      <c r="B37" s="28"/>
      <c r="C37" s="28"/>
      <c r="D37" s="134"/>
      <c r="E37" s="134"/>
      <c r="F37" s="135"/>
      <c r="G37" s="135"/>
      <c r="H37" s="28"/>
      <c r="I37" s="28"/>
      <c r="J37" s="28"/>
      <c r="K37" s="28"/>
      <c r="L37" s="28"/>
      <c r="M37" s="28"/>
      <c r="N37" s="28"/>
      <c r="O37" s="28"/>
      <c r="P37" s="136"/>
      <c r="Q37" s="136"/>
      <c r="R37" s="308"/>
      <c r="S37" s="308"/>
      <c r="T37" s="136"/>
      <c r="U37" s="134"/>
      <c r="V37" s="28"/>
    </row>
    <row r="38" spans="1:22" ht="13.5" thickBot="1">
      <c r="A38" s="321" t="s">
        <v>288</v>
      </c>
      <c r="B38" s="321"/>
      <c r="T38" s="543" t="s">
        <v>132</v>
      </c>
      <c r="U38" s="543"/>
      <c r="V38" s="543"/>
    </row>
    <row r="39" spans="1:22" ht="13.5" customHeight="1" thickBot="1">
      <c r="A39" s="531" t="s">
        <v>68</v>
      </c>
      <c r="B39" s="532"/>
      <c r="C39" s="532"/>
      <c r="D39" s="544" t="s">
        <v>69</v>
      </c>
      <c r="E39" s="545"/>
      <c r="F39" s="545"/>
      <c r="G39" s="546"/>
      <c r="H39" s="531" t="s">
        <v>72</v>
      </c>
      <c r="I39" s="532"/>
      <c r="J39" s="532"/>
      <c r="K39" s="532"/>
      <c r="L39" s="532"/>
      <c r="M39" s="532"/>
      <c r="N39" s="532"/>
      <c r="O39" s="533"/>
      <c r="P39" s="547" t="s">
        <v>73</v>
      </c>
      <c r="Q39" s="548"/>
      <c r="R39" s="548"/>
      <c r="S39" s="549"/>
      <c r="T39" s="531" t="s">
        <v>76</v>
      </c>
      <c r="U39" s="532"/>
      <c r="V39" s="533"/>
    </row>
    <row r="40" spans="1:22" ht="13.5" thickBot="1">
      <c r="A40" s="534"/>
      <c r="B40" s="535"/>
      <c r="C40" s="535"/>
      <c r="D40" s="544" t="s">
        <v>70</v>
      </c>
      <c r="E40" s="546"/>
      <c r="F40" s="544" t="s">
        <v>71</v>
      </c>
      <c r="G40" s="546"/>
      <c r="H40" s="534"/>
      <c r="I40" s="535"/>
      <c r="J40" s="535"/>
      <c r="K40" s="535"/>
      <c r="L40" s="535"/>
      <c r="M40" s="535"/>
      <c r="N40" s="535"/>
      <c r="O40" s="536"/>
      <c r="P40" s="547" t="s">
        <v>74</v>
      </c>
      <c r="Q40" s="549"/>
      <c r="R40" s="544" t="s">
        <v>75</v>
      </c>
      <c r="S40" s="546"/>
      <c r="T40" s="534"/>
      <c r="U40" s="535"/>
      <c r="V40" s="536"/>
    </row>
    <row r="41" spans="1:22" ht="12.75">
      <c r="A41" s="419" t="s">
        <v>525</v>
      </c>
      <c r="B41" s="103"/>
      <c r="C41" s="103"/>
      <c r="D41" s="560">
        <v>41197</v>
      </c>
      <c r="E41" s="561"/>
      <c r="F41" s="558">
        <v>180</v>
      </c>
      <c r="G41" s="562"/>
      <c r="H41" s="102" t="s">
        <v>524</v>
      </c>
      <c r="I41" s="103"/>
      <c r="J41" s="103"/>
      <c r="K41" s="103"/>
      <c r="L41" s="103"/>
      <c r="M41" s="103"/>
      <c r="N41" s="103"/>
      <c r="O41" s="68"/>
      <c r="P41" s="558"/>
      <c r="Q41" s="562"/>
      <c r="R41" s="558">
        <v>180</v>
      </c>
      <c r="S41" s="562"/>
      <c r="T41" s="558">
        <f>F41-P41-R41</f>
        <v>0</v>
      </c>
      <c r="U41" s="559"/>
      <c r="V41" s="68"/>
    </row>
    <row r="42" spans="1:22" ht="12.75">
      <c r="A42" s="102"/>
      <c r="B42" s="103"/>
      <c r="C42" s="103"/>
      <c r="D42" s="550"/>
      <c r="E42" s="551"/>
      <c r="F42" s="537"/>
      <c r="G42" s="552"/>
      <c r="H42" s="102"/>
      <c r="I42" s="103"/>
      <c r="J42" s="103"/>
      <c r="K42" s="103"/>
      <c r="L42" s="103"/>
      <c r="M42" s="103"/>
      <c r="N42" s="103"/>
      <c r="O42" s="68"/>
      <c r="P42" s="537"/>
      <c r="Q42" s="552"/>
      <c r="R42" s="537"/>
      <c r="S42" s="552"/>
      <c r="T42" s="537">
        <f>F42-P42-R42</f>
        <v>0</v>
      </c>
      <c r="U42" s="538"/>
      <c r="V42" s="68"/>
    </row>
    <row r="43" spans="1:22" ht="13.5" thickBot="1">
      <c r="A43" s="390"/>
      <c r="B43" s="279"/>
      <c r="C43" s="279"/>
      <c r="D43" s="563"/>
      <c r="E43" s="564"/>
      <c r="F43" s="539"/>
      <c r="G43" s="565"/>
      <c r="H43" s="390"/>
      <c r="I43" s="279"/>
      <c r="J43" s="279"/>
      <c r="K43" s="279"/>
      <c r="L43" s="279"/>
      <c r="M43" s="279"/>
      <c r="N43" s="279"/>
      <c r="O43" s="69"/>
      <c r="P43" s="539"/>
      <c r="Q43" s="565"/>
      <c r="R43" s="539"/>
      <c r="S43" s="565"/>
      <c r="T43" s="539">
        <f>F43-P43-R43</f>
        <v>0</v>
      </c>
      <c r="U43" s="540"/>
      <c r="V43" s="69"/>
    </row>
    <row r="44" spans="1:22" ht="13.5" thickBot="1">
      <c r="A44" s="391" t="s">
        <v>111</v>
      </c>
      <c r="B44" s="338"/>
      <c r="C44" s="338"/>
      <c r="D44" s="553"/>
      <c r="E44" s="554"/>
      <c r="F44" s="555">
        <f>SUM(F41:G43)</f>
        <v>180</v>
      </c>
      <c r="G44" s="556"/>
      <c r="H44" s="391" t="s">
        <v>111</v>
      </c>
      <c r="I44" s="338"/>
      <c r="J44" s="338"/>
      <c r="K44" s="338"/>
      <c r="L44" s="338"/>
      <c r="M44" s="338"/>
      <c r="N44" s="338"/>
      <c r="O44" s="392"/>
      <c r="P44" s="541">
        <f>SUM(P41:Q42)</f>
        <v>0</v>
      </c>
      <c r="Q44" s="557"/>
      <c r="R44" s="541">
        <f>SUM(R41:S43)</f>
        <v>180</v>
      </c>
      <c r="S44" s="557"/>
      <c r="T44" s="541">
        <f>F44-P44-R44</f>
        <v>0</v>
      </c>
      <c r="U44" s="542"/>
      <c r="V44" s="392"/>
    </row>
    <row r="45" spans="1:22" ht="12.75">
      <c r="A45" s="523" t="s">
        <v>270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5"/>
    </row>
    <row r="46" spans="1:22" ht="13.5" thickBot="1">
      <c r="A46" s="104"/>
      <c r="B46" s="105"/>
      <c r="C46" s="105"/>
      <c r="D46" s="526"/>
      <c r="E46" s="527"/>
      <c r="F46" s="528"/>
      <c r="G46" s="529"/>
      <c r="H46" s="104"/>
      <c r="I46" s="105"/>
      <c r="J46" s="105"/>
      <c r="K46" s="105"/>
      <c r="L46" s="105"/>
      <c r="M46" s="105"/>
      <c r="N46" s="105"/>
      <c r="O46" s="27"/>
      <c r="P46" s="528"/>
      <c r="Q46" s="529"/>
      <c r="R46" s="528"/>
      <c r="S46" s="529"/>
      <c r="T46" s="528">
        <f>F46-P46-R46</f>
        <v>0</v>
      </c>
      <c r="U46" s="530"/>
      <c r="V46" s="27"/>
    </row>
    <row r="48" ht="23.25" customHeight="1"/>
    <row r="49" spans="1:20" ht="12.75">
      <c r="A49" s="101" t="s">
        <v>15</v>
      </c>
      <c r="B49" s="101"/>
      <c r="C49" s="108" t="str">
        <f>Fedőlap!C44</f>
        <v>Budapest, 2013. április 16.</v>
      </c>
      <c r="D49" s="106"/>
      <c r="E49" s="106"/>
      <c r="F49" s="106"/>
      <c r="G49" s="106"/>
      <c r="H49" s="106"/>
      <c r="I49" s="107"/>
      <c r="J49" s="101"/>
      <c r="K49" s="101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9" t="str">
        <f>Fedőlap!L45</f>
        <v>a szervezet vezetője</v>
      </c>
      <c r="M50" s="109"/>
      <c r="N50" s="109"/>
      <c r="O50" s="109"/>
      <c r="P50" s="109"/>
      <c r="Q50" s="109"/>
      <c r="R50" s="109"/>
      <c r="S50" s="109"/>
      <c r="T50" s="109"/>
    </row>
    <row r="51" spans="1:20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9" t="str">
        <f>Fedőlap!L46</f>
        <v>(képviselője)</v>
      </c>
      <c r="M51" s="109"/>
      <c r="N51" s="109"/>
      <c r="O51" s="109"/>
      <c r="P51" s="109"/>
      <c r="Q51" s="109"/>
      <c r="R51" s="109"/>
      <c r="S51" s="109"/>
      <c r="T51" s="109"/>
    </row>
    <row r="52" spans="1:20" ht="15">
      <c r="A52" s="101"/>
      <c r="B52" s="101"/>
      <c r="C52" s="101"/>
      <c r="D52" s="101"/>
      <c r="E52" s="101"/>
      <c r="F52" s="101"/>
      <c r="G52" s="101"/>
      <c r="H52" s="101"/>
      <c r="I52" s="101"/>
      <c r="J52" s="64" t="s">
        <v>20</v>
      </c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ht="12.75">
      <c r="J54" t="str">
        <f>Fedőlap!K51</f>
        <v>„A közzétett adatok könyvvizsgálattal nincsenek alátámasztva”</v>
      </c>
    </row>
  </sheetData>
  <sheetProtection/>
  <mergeCells count="145">
    <mergeCell ref="T13:U13"/>
    <mergeCell ref="D13:E13"/>
    <mergeCell ref="F13:G13"/>
    <mergeCell ref="P13:Q13"/>
    <mergeCell ref="R13:S13"/>
    <mergeCell ref="T44:U44"/>
    <mergeCell ref="T42:U42"/>
    <mergeCell ref="F42:G42"/>
    <mergeCell ref="P42:Q42"/>
    <mergeCell ref="D44:E44"/>
    <mergeCell ref="F44:G44"/>
    <mergeCell ref="P44:Q44"/>
    <mergeCell ref="R44:S44"/>
    <mergeCell ref="T38:V38"/>
    <mergeCell ref="D43:E43"/>
    <mergeCell ref="F43:G43"/>
    <mergeCell ref="P43:Q43"/>
    <mergeCell ref="R43:S43"/>
    <mergeCell ref="T43:U43"/>
    <mergeCell ref="D41:E41"/>
    <mergeCell ref="F41:G41"/>
    <mergeCell ref="P41:Q41"/>
    <mergeCell ref="D42:E42"/>
    <mergeCell ref="R42:S42"/>
    <mergeCell ref="T39:V40"/>
    <mergeCell ref="D40:E40"/>
    <mergeCell ref="F40:G40"/>
    <mergeCell ref="P40:Q40"/>
    <mergeCell ref="R40:S40"/>
    <mergeCell ref="R41:S41"/>
    <mergeCell ref="T41:U41"/>
    <mergeCell ref="A39:C40"/>
    <mergeCell ref="D39:G39"/>
    <mergeCell ref="H39:O40"/>
    <mergeCell ref="P39:S39"/>
    <mergeCell ref="T33:U33"/>
    <mergeCell ref="D34:E34"/>
    <mergeCell ref="F34:G34"/>
    <mergeCell ref="P34:Q34"/>
    <mergeCell ref="R34:S34"/>
    <mergeCell ref="T34:U34"/>
    <mergeCell ref="D33:E33"/>
    <mergeCell ref="F33:G33"/>
    <mergeCell ref="P33:Q33"/>
    <mergeCell ref="R33:S33"/>
    <mergeCell ref="T31:U31"/>
    <mergeCell ref="D32:E32"/>
    <mergeCell ref="F32:G32"/>
    <mergeCell ref="P32:Q32"/>
    <mergeCell ref="R32:S32"/>
    <mergeCell ref="T32:U32"/>
    <mergeCell ref="D31:E31"/>
    <mergeCell ref="F31:G31"/>
    <mergeCell ref="P31:Q31"/>
    <mergeCell ref="R31:S31"/>
    <mergeCell ref="T29:V30"/>
    <mergeCell ref="D30:E30"/>
    <mergeCell ref="F30:G30"/>
    <mergeCell ref="P30:Q30"/>
    <mergeCell ref="R30:S30"/>
    <mergeCell ref="A29:C30"/>
    <mergeCell ref="D29:G29"/>
    <mergeCell ref="H29:O30"/>
    <mergeCell ref="P29:S29"/>
    <mergeCell ref="D24:E24"/>
    <mergeCell ref="F24:G24"/>
    <mergeCell ref="P24:Q24"/>
    <mergeCell ref="R24:S24"/>
    <mergeCell ref="D23:E23"/>
    <mergeCell ref="F23:G23"/>
    <mergeCell ref="P23:Q23"/>
    <mergeCell ref="R23:S23"/>
    <mergeCell ref="D22:E22"/>
    <mergeCell ref="F22:G22"/>
    <mergeCell ref="P22:Q22"/>
    <mergeCell ref="R22:S22"/>
    <mergeCell ref="D20:E20"/>
    <mergeCell ref="T21:U21"/>
    <mergeCell ref="F20:G20"/>
    <mergeCell ref="P20:Q20"/>
    <mergeCell ref="R20:S20"/>
    <mergeCell ref="D21:E21"/>
    <mergeCell ref="F21:G21"/>
    <mergeCell ref="P21:Q21"/>
    <mergeCell ref="R21:S21"/>
    <mergeCell ref="T14:U14"/>
    <mergeCell ref="T18:V18"/>
    <mergeCell ref="D16:E16"/>
    <mergeCell ref="F16:G16"/>
    <mergeCell ref="P16:Q16"/>
    <mergeCell ref="R16:S16"/>
    <mergeCell ref="D14:E14"/>
    <mergeCell ref="F14:G14"/>
    <mergeCell ref="P14:Q14"/>
    <mergeCell ref="R14:S14"/>
    <mergeCell ref="T11:U11"/>
    <mergeCell ref="T12:U12"/>
    <mergeCell ref="D12:E12"/>
    <mergeCell ref="F12:G12"/>
    <mergeCell ref="P12:Q12"/>
    <mergeCell ref="R12:S12"/>
    <mergeCell ref="D11:E11"/>
    <mergeCell ref="F11:G11"/>
    <mergeCell ref="P11:Q11"/>
    <mergeCell ref="R11:S11"/>
    <mergeCell ref="T8:V8"/>
    <mergeCell ref="A9:C10"/>
    <mergeCell ref="D9:G9"/>
    <mergeCell ref="H9:O10"/>
    <mergeCell ref="P9:S9"/>
    <mergeCell ref="T9:V10"/>
    <mergeCell ref="D10:E10"/>
    <mergeCell ref="F10:G10"/>
    <mergeCell ref="P10:Q10"/>
    <mergeCell ref="R10:S10"/>
    <mergeCell ref="A15:V15"/>
    <mergeCell ref="A25:V25"/>
    <mergeCell ref="D26:E26"/>
    <mergeCell ref="F26:G26"/>
    <mergeCell ref="P26:Q26"/>
    <mergeCell ref="R26:S26"/>
    <mergeCell ref="A19:C20"/>
    <mergeCell ref="D19:G19"/>
    <mergeCell ref="H19:O20"/>
    <mergeCell ref="P19:S19"/>
    <mergeCell ref="P36:Q36"/>
    <mergeCell ref="R36:S36"/>
    <mergeCell ref="T36:U36"/>
    <mergeCell ref="T16:U16"/>
    <mergeCell ref="T19:V20"/>
    <mergeCell ref="T22:U22"/>
    <mergeCell ref="T23:U23"/>
    <mergeCell ref="T24:U24"/>
    <mergeCell ref="T28:V28"/>
    <mergeCell ref="T26:U26"/>
    <mergeCell ref="A6:M6"/>
    <mergeCell ref="A45:V45"/>
    <mergeCell ref="D46:E46"/>
    <mergeCell ref="F46:G46"/>
    <mergeCell ref="P46:Q46"/>
    <mergeCell ref="R46:S46"/>
    <mergeCell ref="T46:U46"/>
    <mergeCell ref="A35:V35"/>
    <mergeCell ref="D36:E36"/>
    <mergeCell ref="F36:G36"/>
  </mergeCells>
  <printOptions horizontalCentered="1"/>
  <pageMargins left="0.3937007874015748" right="0.3937007874015748" top="0.5905511811023623" bottom="0.4724409448818898" header="0.3937007874015748" footer="0.35433070866141736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4" width="4.25390625" style="0" customWidth="1"/>
    <col min="5" max="5" width="5.00390625" style="0" customWidth="1"/>
    <col min="6" max="15" width="4.25390625" style="0" customWidth="1"/>
    <col min="16" max="16" width="4.375" style="0" customWidth="1"/>
    <col min="17" max="17" width="4.00390625" style="0" customWidth="1"/>
    <col min="18" max="18" width="4.125" style="0" customWidth="1"/>
    <col min="19" max="19" width="24.00390625" style="0" customWidth="1"/>
  </cols>
  <sheetData>
    <row r="1" spans="1:18" ht="18.75" thickBot="1">
      <c r="A1" s="17" t="str">
        <f>Fedőlap!$A$1</f>
        <v>1</v>
      </c>
      <c r="B1" s="117" t="str">
        <f>Fedőlap!$B$1</f>
        <v>9</v>
      </c>
      <c r="C1" s="19" t="str">
        <f>Fedőlap!$C$1</f>
        <v>6</v>
      </c>
      <c r="D1" s="19" t="str">
        <f>Fedőlap!$D$1</f>
        <v>2</v>
      </c>
      <c r="E1" s="19" t="str">
        <f>Fedőlap!$E$1</f>
        <v>2</v>
      </c>
      <c r="F1" s="19" t="str">
        <f>Fedőlap!$F$1</f>
        <v>6</v>
      </c>
      <c r="G1" s="19" t="str">
        <f>Fedőlap!$G$1</f>
        <v>8</v>
      </c>
      <c r="H1" s="18" t="str">
        <f>Fedőlap!$H$1</f>
        <v>4</v>
      </c>
      <c r="I1" s="17" t="str">
        <f>Fedőlap!$I$1</f>
        <v>9</v>
      </c>
      <c r="J1" s="19">
        <f>Fedőlap!$J$1</f>
        <v>4</v>
      </c>
      <c r="K1" s="19">
        <f>Fedőlap!$K$1</f>
        <v>9</v>
      </c>
      <c r="L1" s="18" t="str">
        <f>Fedőlap!$L$1</f>
        <v>9</v>
      </c>
      <c r="M1" s="118" t="str">
        <f>Fedőlap!$M$1</f>
        <v>5</v>
      </c>
      <c r="N1" s="19" t="str">
        <f>Fedőlap!$N$1</f>
        <v>2</v>
      </c>
      <c r="O1" s="117">
        <f>Fedőlap!$O$1</f>
        <v>2</v>
      </c>
      <c r="P1" s="17" t="str">
        <f>Fedőlap!$P$1</f>
        <v>0</v>
      </c>
      <c r="Q1" s="18" t="str">
        <f>Fedőlap!$Q$1</f>
        <v>1</v>
      </c>
      <c r="R1" s="16"/>
    </row>
    <row r="2" spans="1:18" ht="12.75">
      <c r="A2" s="2" t="str">
        <f>Fedőlap!A2</f>
        <v>Statisztikai számjel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12.75">
      <c r="A3" s="1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15" t="str">
        <f>Fedőlap!$B$9</f>
        <v>Budapesti Tájfutók Szövetsége</v>
      </c>
      <c r="B4" s="7"/>
      <c r="C4" s="22"/>
      <c r="D4" s="7"/>
      <c r="E4" s="7"/>
      <c r="F4" s="7"/>
      <c r="G4" s="7"/>
      <c r="H4" s="7"/>
      <c r="I4" s="7"/>
      <c r="J4" s="7"/>
      <c r="K4" s="7"/>
      <c r="L4" s="63"/>
      <c r="M4" s="3"/>
      <c r="N4" s="7"/>
      <c r="O4" s="1"/>
      <c r="P4" s="1"/>
      <c r="Q4" s="1"/>
      <c r="R4" s="1"/>
    </row>
    <row r="5" spans="1:12" ht="12.75">
      <c r="A5" s="6" t="str">
        <f>Fedőlap!A30</f>
        <v>- Egyszerűsített éves beszámoló KIEGÉSZÍTŐ MELLÉKLETE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 customHeight="1">
      <c r="A6" s="522" t="str">
        <f>Fedőlap!B32</f>
        <v>- FŐBB TEVÉKENYSÉGEK ÉS PROGRAMOK BEMUTATÁSA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</row>
    <row r="7" spans="1:19" ht="14.25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</row>
    <row r="8" spans="1:19" ht="29.25" customHeight="1">
      <c r="A8" s="566" t="s">
        <v>0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</row>
    <row r="9" spans="1:19" ht="14.25">
      <c r="A9" s="566" t="s">
        <v>1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</row>
    <row r="10" spans="1:19" ht="72.75" customHeight="1">
      <c r="A10" s="566" t="s">
        <v>12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</row>
    <row r="11" spans="1:19" ht="30.75" customHeight="1">
      <c r="A11" s="566" t="s">
        <v>2</v>
      </c>
      <c r="B11" s="566"/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</row>
    <row r="12" spans="1:19" ht="30" customHeight="1">
      <c r="A12" s="566" t="s">
        <v>3</v>
      </c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</row>
    <row r="13" spans="1:19" ht="43.5" customHeight="1">
      <c r="A13" s="566" t="s">
        <v>4</v>
      </c>
      <c r="B13" s="566"/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</row>
    <row r="14" spans="1:19" ht="72.75" customHeight="1">
      <c r="A14" s="566" t="s">
        <v>5</v>
      </c>
      <c r="B14" s="566"/>
      <c r="C14" s="566"/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</row>
    <row r="15" spans="1:19" ht="30" customHeight="1">
      <c r="A15" s="566" t="s">
        <v>6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</row>
    <row r="16" spans="1:19" ht="15.75" customHeight="1">
      <c r="A16" s="566" t="s">
        <v>7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</row>
    <row r="17" spans="1:19" ht="29.25" customHeight="1">
      <c r="A17" s="566" t="s">
        <v>8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</row>
    <row r="18" spans="1:19" ht="44.25" customHeight="1">
      <c r="A18" s="566" t="s">
        <v>9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</row>
    <row r="19" spans="1:19" ht="43.5" customHeight="1">
      <c r="A19" s="566" t="s">
        <v>10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</row>
    <row r="20" spans="1:19" ht="29.25" customHeight="1">
      <c r="A20" s="566" t="s">
        <v>11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</row>
    <row r="21" spans="1:19" ht="13.5" customHeight="1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1"/>
    </row>
    <row r="22" spans="1:19" ht="13.5" customHeight="1">
      <c r="A22" s="420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1"/>
    </row>
    <row r="24" spans="1:18" ht="12.75">
      <c r="A24" s="101" t="s">
        <v>15</v>
      </c>
      <c r="B24" s="101"/>
      <c r="C24" s="229" t="str">
        <f>Fedőlap!C44</f>
        <v>Budapest, 2013. április 16.</v>
      </c>
      <c r="D24" s="106"/>
      <c r="E24" s="106"/>
      <c r="F24" s="106"/>
      <c r="G24" s="106"/>
      <c r="H24" s="108"/>
      <c r="I24" s="101"/>
      <c r="J24" s="101"/>
      <c r="M24" s="108"/>
      <c r="N24" s="108"/>
      <c r="O24" s="108"/>
      <c r="P24" s="108"/>
      <c r="Q24" s="108"/>
      <c r="R24" s="108"/>
    </row>
    <row r="25" spans="1:18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M25" s="109" t="str">
        <f>Fedőlap!L45</f>
        <v>a szervezet vezetője</v>
      </c>
      <c r="N25" s="109"/>
      <c r="O25" s="109"/>
      <c r="P25" s="109"/>
      <c r="Q25" s="109"/>
      <c r="R25" s="109"/>
    </row>
    <row r="26" spans="1:18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M26" s="109" t="str">
        <f>Fedőlap!L46</f>
        <v>(képviselője)</v>
      </c>
      <c r="N26" s="109"/>
      <c r="O26" s="109"/>
      <c r="P26" s="109"/>
      <c r="Q26" s="109"/>
      <c r="R26" s="109"/>
    </row>
    <row r="27" spans="1:18" ht="1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64" t="s">
        <v>20</v>
      </c>
      <c r="L27" s="101"/>
      <c r="M27" s="101"/>
      <c r="N27" s="101"/>
      <c r="O27" s="101"/>
      <c r="P27" s="101"/>
      <c r="Q27" s="101"/>
      <c r="R27" s="101"/>
    </row>
    <row r="28" spans="1:18" ht="12.75">
      <c r="A28" s="1"/>
      <c r="B28" s="1"/>
      <c r="C28" s="1"/>
      <c r="D28" s="1"/>
      <c r="E28" s="1"/>
      <c r="F28" s="1"/>
      <c r="G28" s="1"/>
      <c r="H28" s="1"/>
      <c r="K28" s="1"/>
      <c r="L28" s="1"/>
      <c r="M28" s="1"/>
      <c r="N28" s="1"/>
      <c r="O28" s="1"/>
      <c r="P28" s="1"/>
      <c r="Q28" s="1"/>
      <c r="R28" s="1"/>
    </row>
  </sheetData>
  <sheetProtection/>
  <mergeCells count="14">
    <mergeCell ref="A19:S19"/>
    <mergeCell ref="A20:S20"/>
    <mergeCell ref="A15:S15"/>
    <mergeCell ref="A16:S16"/>
    <mergeCell ref="A17:S17"/>
    <mergeCell ref="A18:S18"/>
    <mergeCell ref="A11:S11"/>
    <mergeCell ref="A12:S12"/>
    <mergeCell ref="A13:S13"/>
    <mergeCell ref="A14:S14"/>
    <mergeCell ref="A6:L6"/>
    <mergeCell ref="A8:S8"/>
    <mergeCell ref="A9:S9"/>
    <mergeCell ref="A10:S10"/>
  </mergeCells>
  <printOptions/>
  <pageMargins left="0.35433070866141736" right="0.35433070866141736" top="0.6299212598425197" bottom="0.2362204724409449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KASNYIK ÉS TÁRSA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X200</cp:lastModifiedBy>
  <cp:lastPrinted>2013-05-29T09:51:33Z</cp:lastPrinted>
  <dcterms:created xsi:type="dcterms:W3CDTF">1999-03-29T16:17:01Z</dcterms:created>
  <dcterms:modified xsi:type="dcterms:W3CDTF">2013-05-29T09:51:48Z</dcterms:modified>
  <cp:category/>
  <cp:version/>
  <cp:contentType/>
  <cp:contentStatus/>
</cp:coreProperties>
</file>